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C30563D4-54CC-429A-B5EC-C92715C21FC1}" xr6:coauthVersionLast="41" xr6:coauthVersionMax="41" xr10:uidLastSave="{00000000-0000-0000-0000-000000000000}"/>
  <bookViews>
    <workbookView xWindow="390" yWindow="390" windowWidth="17835" windowHeight="14625" xr2:uid="{00000000-000D-0000-FFFF-FFFF00000000}"/>
  </bookViews>
  <sheets>
    <sheet name="2020" sheetId="6" r:id="rId1"/>
    <sheet name="SalaryCompare" sheetId="17" r:id="rId2"/>
    <sheet name="TchrSalaryCompare" sheetId="13" r:id="rId3"/>
    <sheet name="Conference" sheetId="18" r:id="rId4"/>
    <sheet name="SBA" sheetId="16" r:id="rId5"/>
    <sheet name="House" sheetId="14" r:id="rId6"/>
    <sheet name="Senate" sheetId="15" r:id="rId7"/>
    <sheet name="salaries_benefits" sheetId="7" state="hidden" r:id="rId8"/>
    <sheet name="ScheduleComparison" sheetId="12" state="hidden" r:id="rId9"/>
    <sheet name="House Salary" sheetId="10" state="hidden" r:id="rId10"/>
    <sheet name="Governors Proposal" sheetId="9" state="hidden" r:id="rId11"/>
  </sheets>
  <definedNames>
    <definedName name="_xlnm.Print_Area" localSheetId="0">'2020'!$A$1:$R$193</definedName>
    <definedName name="_xlnm.Print_Titles" localSheetId="0">'2020'!$B:$B,'2020'!$1:$8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4" i="6" l="1"/>
  <c r="F31" i="18"/>
  <c r="G31" i="18" s="1"/>
  <c r="O125" i="6" l="1"/>
  <c r="O93" i="6"/>
  <c r="F36" i="18"/>
  <c r="G36" i="18" s="1"/>
  <c r="D36" i="18"/>
  <c r="C36" i="18"/>
  <c r="F35" i="18"/>
  <c r="G35" i="18" s="1"/>
  <c r="D35" i="18"/>
  <c r="C35" i="18"/>
  <c r="F34" i="18"/>
  <c r="G34" i="18" s="1"/>
  <c r="D34" i="18"/>
  <c r="C34" i="18"/>
  <c r="F33" i="18"/>
  <c r="G33" i="18" s="1"/>
  <c r="D33" i="18"/>
  <c r="C33" i="18"/>
  <c r="F32" i="18"/>
  <c r="G32" i="18" s="1"/>
  <c r="D32" i="18"/>
  <c r="C32" i="18"/>
  <c r="D31" i="18"/>
  <c r="C31" i="18"/>
  <c r="F30" i="18"/>
  <c r="G30" i="18" s="1"/>
  <c r="D30" i="18"/>
  <c r="C30" i="18"/>
  <c r="F29" i="18"/>
  <c r="G29" i="18" s="1"/>
  <c r="D29" i="18"/>
  <c r="C29" i="18"/>
  <c r="F28" i="18"/>
  <c r="G28" i="18" s="1"/>
  <c r="D28" i="18"/>
  <c r="C28" i="18"/>
  <c r="F27" i="18"/>
  <c r="G27" i="18" s="1"/>
  <c r="D27" i="18"/>
  <c r="C27" i="18"/>
  <c r="F26" i="18"/>
  <c r="G26" i="18" s="1"/>
  <c r="D26" i="18"/>
  <c r="C26" i="18"/>
  <c r="F25" i="18"/>
  <c r="G25" i="18" s="1"/>
  <c r="D25" i="18"/>
  <c r="C25" i="18"/>
  <c r="F24" i="18"/>
  <c r="G24" i="18" s="1"/>
  <c r="D24" i="18"/>
  <c r="C24" i="18"/>
  <c r="F23" i="18"/>
  <c r="G23" i="18" s="1"/>
  <c r="D23" i="18"/>
  <c r="C23" i="18"/>
  <c r="F22" i="18"/>
  <c r="G22" i="18" s="1"/>
  <c r="D22" i="18"/>
  <c r="C22" i="18"/>
  <c r="F21" i="18"/>
  <c r="G21" i="18" s="1"/>
  <c r="D21" i="18"/>
  <c r="C21" i="18"/>
  <c r="F20" i="18"/>
  <c r="G20" i="18" s="1"/>
  <c r="D20" i="18"/>
  <c r="C20" i="18"/>
  <c r="F19" i="18"/>
  <c r="G19" i="18" s="1"/>
  <c r="D19" i="18"/>
  <c r="C19" i="18"/>
  <c r="F18" i="18"/>
  <c r="G18" i="18" s="1"/>
  <c r="D18" i="18"/>
  <c r="C18" i="18"/>
  <c r="F17" i="18"/>
  <c r="G17" i="18" s="1"/>
  <c r="D17" i="18"/>
  <c r="C17" i="18"/>
  <c r="F16" i="18"/>
  <c r="G16" i="18" s="1"/>
  <c r="D16" i="18"/>
  <c r="C16" i="18"/>
  <c r="F15" i="18"/>
  <c r="G15" i="18" s="1"/>
  <c r="D15" i="18"/>
  <c r="C15" i="18"/>
  <c r="F14" i="18"/>
  <c r="G14" i="18" s="1"/>
  <c r="D14" i="18"/>
  <c r="C14" i="18"/>
  <c r="F13" i="18"/>
  <c r="G13" i="18" s="1"/>
  <c r="D13" i="18"/>
  <c r="C13" i="18"/>
  <c r="F12" i="18"/>
  <c r="G12" i="18" s="1"/>
  <c r="D12" i="18"/>
  <c r="C12" i="18"/>
  <c r="F11" i="18"/>
  <c r="G11" i="18" s="1"/>
  <c r="D11" i="18"/>
  <c r="C11" i="18"/>
  <c r="F10" i="18"/>
  <c r="G10" i="18" s="1"/>
  <c r="D10" i="18"/>
  <c r="C10" i="18"/>
  <c r="F9" i="18"/>
  <c r="G9" i="18" s="1"/>
  <c r="D9" i="18"/>
  <c r="C9" i="18"/>
  <c r="F8" i="18"/>
  <c r="G8" i="18" s="1"/>
  <c r="D8" i="18"/>
  <c r="C8" i="18"/>
  <c r="F7" i="18"/>
  <c r="G7" i="18" s="1"/>
  <c r="D7" i="18"/>
  <c r="C7" i="18"/>
  <c r="D6" i="18"/>
  <c r="L125" i="6"/>
  <c r="O51" i="6"/>
  <c r="O50" i="6"/>
  <c r="O53" i="6"/>
  <c r="O28" i="6"/>
  <c r="O27" i="6"/>
  <c r="O40" i="6"/>
  <c r="O42" i="6"/>
  <c r="O54" i="6"/>
  <c r="O16" i="6"/>
  <c r="O133" i="6"/>
  <c r="O139" i="6"/>
  <c r="O154" i="6" l="1"/>
  <c r="D87" i="6"/>
  <c r="L16" i="6"/>
  <c r="I187" i="6"/>
  <c r="L89" i="6"/>
  <c r="L88" i="6"/>
  <c r="E8" i="15"/>
  <c r="F8" i="15" s="1"/>
  <c r="E9" i="15"/>
  <c r="H9" i="15" s="1"/>
  <c r="E10" i="15"/>
  <c r="H10" i="15" s="1"/>
  <c r="E11" i="15"/>
  <c r="H11" i="15" s="1"/>
  <c r="E12" i="15"/>
  <c r="F12" i="15" s="1"/>
  <c r="E13" i="15"/>
  <c r="H13" i="15" s="1"/>
  <c r="E14" i="15"/>
  <c r="H14" i="15"/>
  <c r="E15" i="15"/>
  <c r="H15" i="15" s="1"/>
  <c r="E16" i="15"/>
  <c r="F16" i="15" s="1"/>
  <c r="E17" i="15"/>
  <c r="H17" i="15" s="1"/>
  <c r="E18" i="15"/>
  <c r="H18" i="15"/>
  <c r="E19" i="15"/>
  <c r="H19" i="15" s="1"/>
  <c r="E20" i="15"/>
  <c r="F20" i="15" s="1"/>
  <c r="E21" i="15"/>
  <c r="H21" i="15" s="1"/>
  <c r="E22" i="15"/>
  <c r="H22" i="15" s="1"/>
  <c r="E23" i="15"/>
  <c r="H23" i="15" s="1"/>
  <c r="E24" i="15"/>
  <c r="F24" i="15" s="1"/>
  <c r="E25" i="15"/>
  <c r="H25" i="15" s="1"/>
  <c r="E26" i="15"/>
  <c r="F26" i="15" s="1"/>
  <c r="E27" i="15"/>
  <c r="H27" i="15" s="1"/>
  <c r="E28" i="15"/>
  <c r="F28" i="15" s="1"/>
  <c r="E29" i="15"/>
  <c r="H29" i="15" s="1"/>
  <c r="E30" i="15"/>
  <c r="H30" i="15" s="1"/>
  <c r="E31" i="15"/>
  <c r="H31" i="15" s="1"/>
  <c r="E32" i="15"/>
  <c r="F32" i="15" s="1"/>
  <c r="E33" i="15"/>
  <c r="H33" i="15" s="1"/>
  <c r="E34" i="15"/>
  <c r="H34" i="15" s="1"/>
  <c r="E35" i="15"/>
  <c r="H35" i="15" s="1"/>
  <c r="E36" i="15"/>
  <c r="F36" i="15" s="1"/>
  <c r="E7" i="15"/>
  <c r="H7" i="15" s="1"/>
  <c r="C7" i="15"/>
  <c r="C36" i="15"/>
  <c r="C35" i="15"/>
  <c r="F34" i="15"/>
  <c r="C34" i="15"/>
  <c r="C33" i="15"/>
  <c r="C32" i="15"/>
  <c r="C31" i="15"/>
  <c r="F30" i="15"/>
  <c r="C30" i="15"/>
  <c r="C29" i="15"/>
  <c r="C28" i="15"/>
  <c r="C27" i="15"/>
  <c r="C26" i="15"/>
  <c r="C25" i="15"/>
  <c r="C24" i="15"/>
  <c r="C23" i="15"/>
  <c r="F22" i="15"/>
  <c r="C22" i="15"/>
  <c r="C21" i="15"/>
  <c r="C20" i="15"/>
  <c r="C19" i="15"/>
  <c r="F18" i="15"/>
  <c r="C18" i="15"/>
  <c r="C17" i="15"/>
  <c r="C16" i="15"/>
  <c r="C15" i="15"/>
  <c r="F14" i="15"/>
  <c r="C14" i="15"/>
  <c r="C13" i="15"/>
  <c r="C12" i="15"/>
  <c r="C11" i="15"/>
  <c r="F10" i="15"/>
  <c r="C10" i="15"/>
  <c r="C9" i="15"/>
  <c r="C8" i="15"/>
  <c r="C6" i="15"/>
  <c r="F36" i="14"/>
  <c r="G36" i="14" s="1"/>
  <c r="D36" i="14"/>
  <c r="C36" i="14"/>
  <c r="F35" i="14"/>
  <c r="G35" i="14" s="1"/>
  <c r="D35" i="14"/>
  <c r="C35" i="14"/>
  <c r="F34" i="14"/>
  <c r="G34" i="14" s="1"/>
  <c r="D34" i="14"/>
  <c r="C34" i="14"/>
  <c r="F33" i="14"/>
  <c r="G33" i="14" s="1"/>
  <c r="D33" i="14"/>
  <c r="C33" i="14"/>
  <c r="F32" i="14"/>
  <c r="G32" i="14" s="1"/>
  <c r="D32" i="14"/>
  <c r="C32" i="14"/>
  <c r="F31" i="14"/>
  <c r="G31" i="14" s="1"/>
  <c r="D31" i="14"/>
  <c r="C31" i="14"/>
  <c r="F30" i="14"/>
  <c r="G30" i="14" s="1"/>
  <c r="D30" i="14"/>
  <c r="C30" i="14"/>
  <c r="F29" i="14"/>
  <c r="G29" i="14" s="1"/>
  <c r="D29" i="14"/>
  <c r="C29" i="14"/>
  <c r="F28" i="14"/>
  <c r="G28" i="14" s="1"/>
  <c r="D28" i="14"/>
  <c r="C28" i="14"/>
  <c r="F27" i="14"/>
  <c r="G27" i="14" s="1"/>
  <c r="D27" i="14"/>
  <c r="C27" i="14"/>
  <c r="F26" i="14"/>
  <c r="G26" i="14" s="1"/>
  <c r="D26" i="14"/>
  <c r="C26" i="14"/>
  <c r="F25" i="14"/>
  <c r="G25" i="14" s="1"/>
  <c r="D25" i="14"/>
  <c r="C25" i="14"/>
  <c r="F24" i="14"/>
  <c r="G24" i="14" s="1"/>
  <c r="D24" i="14"/>
  <c r="C24" i="14"/>
  <c r="F23" i="14"/>
  <c r="G23" i="14" s="1"/>
  <c r="D23" i="14"/>
  <c r="C23" i="14"/>
  <c r="F22" i="14"/>
  <c r="G22" i="14" s="1"/>
  <c r="D22" i="14"/>
  <c r="C22" i="14"/>
  <c r="F21" i="14"/>
  <c r="G21" i="14" s="1"/>
  <c r="D21" i="14"/>
  <c r="C21" i="14"/>
  <c r="F20" i="14"/>
  <c r="G20" i="14" s="1"/>
  <c r="D20" i="14"/>
  <c r="C20" i="14"/>
  <c r="F19" i="14"/>
  <c r="G19" i="14" s="1"/>
  <c r="D19" i="14"/>
  <c r="C19" i="14"/>
  <c r="F18" i="14"/>
  <c r="G18" i="14" s="1"/>
  <c r="D18" i="14"/>
  <c r="C18" i="14"/>
  <c r="F17" i="14"/>
  <c r="G17" i="14" s="1"/>
  <c r="D17" i="14"/>
  <c r="C17" i="14"/>
  <c r="F16" i="14"/>
  <c r="G16" i="14" s="1"/>
  <c r="D16" i="14"/>
  <c r="C16" i="14"/>
  <c r="F15" i="14"/>
  <c r="G15" i="14" s="1"/>
  <c r="D15" i="14"/>
  <c r="C15" i="14"/>
  <c r="F14" i="14"/>
  <c r="G14" i="14" s="1"/>
  <c r="D14" i="14"/>
  <c r="C14" i="14"/>
  <c r="F13" i="14"/>
  <c r="G13" i="14" s="1"/>
  <c r="D13" i="14"/>
  <c r="C13" i="14"/>
  <c r="F12" i="14"/>
  <c r="G12" i="14" s="1"/>
  <c r="D12" i="14"/>
  <c r="C12" i="14"/>
  <c r="F11" i="14"/>
  <c r="G11" i="14" s="1"/>
  <c r="D11" i="14"/>
  <c r="C11" i="14"/>
  <c r="F10" i="14"/>
  <c r="G10" i="14" s="1"/>
  <c r="D10" i="14"/>
  <c r="C10" i="14"/>
  <c r="F9" i="14"/>
  <c r="G9" i="14" s="1"/>
  <c r="D9" i="14"/>
  <c r="C9" i="14"/>
  <c r="F8" i="14"/>
  <c r="G8" i="14" s="1"/>
  <c r="D8" i="14"/>
  <c r="C8" i="14"/>
  <c r="F7" i="14"/>
  <c r="G7" i="14" s="1"/>
  <c r="D7" i="14"/>
  <c r="C7" i="14"/>
  <c r="D6" i="14"/>
  <c r="L10" i="6"/>
  <c r="O10" i="6" s="1"/>
  <c r="F191" i="6"/>
  <c r="I191" i="6"/>
  <c r="L191" i="6"/>
  <c r="L133" i="6"/>
  <c r="L139" i="6"/>
  <c r="L14" i="6"/>
  <c r="O14" i="6" s="1"/>
  <c r="L15" i="6"/>
  <c r="O15" i="6" s="1"/>
  <c r="L24" i="6"/>
  <c r="L25" i="6"/>
  <c r="L26" i="6"/>
  <c r="O26" i="6" s="1"/>
  <c r="I9" i="6"/>
  <c r="L9" i="6" s="1"/>
  <c r="O9" i="6" s="1"/>
  <c r="I133" i="6"/>
  <c r="I154" i="6" s="1"/>
  <c r="I59" i="6"/>
  <c r="I80" i="6"/>
  <c r="I93" i="6" s="1"/>
  <c r="I125" i="6"/>
  <c r="I164" i="6"/>
  <c r="L161" i="6"/>
  <c r="L164" i="6" s="1"/>
  <c r="F164" i="6"/>
  <c r="F139" i="6"/>
  <c r="F154" i="6" s="1"/>
  <c r="F51" i="6"/>
  <c r="F59" i="6" s="1"/>
  <c r="F127" i="6" s="1"/>
  <c r="F129" i="6" s="1"/>
  <c r="F64" i="6"/>
  <c r="F93" i="6" s="1"/>
  <c r="F10" i="6"/>
  <c r="I159" i="6"/>
  <c r="D64" i="6"/>
  <c r="D63" i="6"/>
  <c r="D77" i="6"/>
  <c r="D86" i="6"/>
  <c r="D76" i="6"/>
  <c r="D83" i="6"/>
  <c r="D125" i="6"/>
  <c r="H43" i="12"/>
  <c r="I43" i="12" s="1"/>
  <c r="H8" i="12"/>
  <c r="I8" i="12" s="1"/>
  <c r="J8" i="12" s="1"/>
  <c r="H9" i="12"/>
  <c r="I9" i="12" s="1"/>
  <c r="J9" i="12" s="1"/>
  <c r="H10" i="12"/>
  <c r="I10" i="12" s="1"/>
  <c r="J10" i="12" s="1"/>
  <c r="H11" i="12"/>
  <c r="I11" i="12" s="1"/>
  <c r="J11" i="12" s="1"/>
  <c r="H12" i="12"/>
  <c r="I12" i="12" s="1"/>
  <c r="J12" i="12" s="1"/>
  <c r="H13" i="12"/>
  <c r="I13" i="12" s="1"/>
  <c r="J13" i="12" s="1"/>
  <c r="H14" i="12"/>
  <c r="I14" i="12" s="1"/>
  <c r="J14" i="12" s="1"/>
  <c r="H15" i="12"/>
  <c r="I15" i="12" s="1"/>
  <c r="J15" i="12" s="1"/>
  <c r="H16" i="12"/>
  <c r="I16" i="12" s="1"/>
  <c r="J16" i="12" s="1"/>
  <c r="H17" i="12"/>
  <c r="I17" i="12" s="1"/>
  <c r="J17" i="12" s="1"/>
  <c r="H18" i="12"/>
  <c r="I18" i="12" s="1"/>
  <c r="J18" i="12" s="1"/>
  <c r="H19" i="12"/>
  <c r="I19" i="12" s="1"/>
  <c r="J19" i="12" s="1"/>
  <c r="H20" i="12"/>
  <c r="I20" i="12" s="1"/>
  <c r="J20" i="12" s="1"/>
  <c r="H21" i="12"/>
  <c r="I21" i="12" s="1"/>
  <c r="J21" i="12" s="1"/>
  <c r="H22" i="12"/>
  <c r="I22" i="12" s="1"/>
  <c r="J22" i="12" s="1"/>
  <c r="H23" i="12"/>
  <c r="I23" i="12" s="1"/>
  <c r="J23" i="12" s="1"/>
  <c r="H24" i="12"/>
  <c r="I24" i="12" s="1"/>
  <c r="J24" i="12" s="1"/>
  <c r="H25" i="12"/>
  <c r="I25" i="12" s="1"/>
  <c r="J25" i="12" s="1"/>
  <c r="H26" i="12"/>
  <c r="I26" i="12" s="1"/>
  <c r="J26" i="12" s="1"/>
  <c r="H27" i="12"/>
  <c r="I27" i="12" s="1"/>
  <c r="J27" i="12" s="1"/>
  <c r="H28" i="12"/>
  <c r="I28" i="12" s="1"/>
  <c r="J28" i="12" s="1"/>
  <c r="H29" i="12"/>
  <c r="I29" i="12" s="1"/>
  <c r="J29" i="12" s="1"/>
  <c r="H30" i="12"/>
  <c r="I30" i="12" s="1"/>
  <c r="J30" i="12" s="1"/>
  <c r="H31" i="12"/>
  <c r="I31" i="12" s="1"/>
  <c r="J31" i="12" s="1"/>
  <c r="H32" i="12"/>
  <c r="I32" i="12" s="1"/>
  <c r="J32" i="12" s="1"/>
  <c r="H33" i="12"/>
  <c r="I33" i="12" s="1"/>
  <c r="J33" i="12" s="1"/>
  <c r="H34" i="12"/>
  <c r="I34" i="12" s="1"/>
  <c r="J34" i="12" s="1"/>
  <c r="H35" i="12"/>
  <c r="I35" i="12" s="1"/>
  <c r="J35" i="12" s="1"/>
  <c r="H36" i="12"/>
  <c r="I36" i="12" s="1"/>
  <c r="J36" i="12" s="1"/>
  <c r="H37" i="12"/>
  <c r="I37" i="12" s="1"/>
  <c r="J37" i="12" s="1"/>
  <c r="H38" i="12"/>
  <c r="I38" i="12" s="1"/>
  <c r="J38" i="12" s="1"/>
  <c r="H39" i="12"/>
  <c r="I39" i="12" s="1"/>
  <c r="J39" i="12" s="1"/>
  <c r="H40" i="12"/>
  <c r="I40" i="12" s="1"/>
  <c r="J40" i="12" s="1"/>
  <c r="H41" i="12"/>
  <c r="I41" i="12"/>
  <c r="H42" i="12"/>
  <c r="I42" i="12" s="1"/>
  <c r="J42" i="12" s="1"/>
  <c r="H7" i="12"/>
  <c r="I7" i="12" s="1"/>
  <c r="J7" i="12" s="1"/>
  <c r="H6" i="12"/>
  <c r="L43" i="12"/>
  <c r="M43" i="12" s="1"/>
  <c r="L8" i="12"/>
  <c r="L9" i="12"/>
  <c r="L10" i="12"/>
  <c r="L11" i="12"/>
  <c r="M11" i="12" s="1"/>
  <c r="L12" i="12"/>
  <c r="L13" i="12"/>
  <c r="L14" i="12"/>
  <c r="M14" i="12" s="1"/>
  <c r="L15" i="12"/>
  <c r="M15" i="12" s="1"/>
  <c r="L16" i="12"/>
  <c r="L17" i="12"/>
  <c r="M17" i="12" s="1"/>
  <c r="L18" i="12"/>
  <c r="L19" i="12"/>
  <c r="M19" i="12" s="1"/>
  <c r="L20" i="12"/>
  <c r="L21" i="12"/>
  <c r="L22" i="12"/>
  <c r="M22" i="12" s="1"/>
  <c r="L23" i="12"/>
  <c r="M23" i="12" s="1"/>
  <c r="L24" i="12"/>
  <c r="L25" i="12"/>
  <c r="M25" i="12" s="1"/>
  <c r="L26" i="12"/>
  <c r="L27" i="12"/>
  <c r="M27" i="12" s="1"/>
  <c r="L28" i="12"/>
  <c r="L29" i="12"/>
  <c r="L30" i="12"/>
  <c r="L31" i="12"/>
  <c r="M31" i="12" s="1"/>
  <c r="L32" i="12"/>
  <c r="L33" i="12"/>
  <c r="M33" i="12" s="1"/>
  <c r="L34" i="12"/>
  <c r="L35" i="12"/>
  <c r="M35" i="12" s="1"/>
  <c r="L36" i="12"/>
  <c r="L37" i="12"/>
  <c r="L38" i="12"/>
  <c r="M38" i="12" s="1"/>
  <c r="L39" i="12"/>
  <c r="M39" i="12" s="1"/>
  <c r="L40" i="12"/>
  <c r="L41" i="12"/>
  <c r="L42" i="12"/>
  <c r="L7" i="12"/>
  <c r="M7" i="12" s="1"/>
  <c r="L6" i="12"/>
  <c r="D42" i="10"/>
  <c r="C42" i="10" s="1"/>
  <c r="D7" i="10"/>
  <c r="C7" i="10" s="1"/>
  <c r="D8" i="10"/>
  <c r="C8" i="10" s="1"/>
  <c r="D9" i="10"/>
  <c r="C9" i="10" s="1"/>
  <c r="D10" i="10"/>
  <c r="C10" i="10" s="1"/>
  <c r="D11" i="10"/>
  <c r="C11" i="10" s="1"/>
  <c r="D12" i="10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19" i="10"/>
  <c r="C19" i="10" s="1"/>
  <c r="D20" i="10"/>
  <c r="C20" i="10" s="1"/>
  <c r="D21" i="10"/>
  <c r="C21" i="10"/>
  <c r="D22" i="10"/>
  <c r="C22" i="10" s="1"/>
  <c r="D23" i="10"/>
  <c r="C23" i="10"/>
  <c r="D24" i="10"/>
  <c r="C24" i="10" s="1"/>
  <c r="D25" i="10"/>
  <c r="C25" i="10" s="1"/>
  <c r="D26" i="10"/>
  <c r="C26" i="10" s="1"/>
  <c r="D27" i="10"/>
  <c r="C27" i="10"/>
  <c r="D28" i="10"/>
  <c r="C28" i="10" s="1"/>
  <c r="D29" i="10"/>
  <c r="C29" i="10" s="1"/>
  <c r="D30" i="10"/>
  <c r="C30" i="10" s="1"/>
  <c r="D31" i="10"/>
  <c r="C31" i="10"/>
  <c r="D32" i="10"/>
  <c r="C32" i="10" s="1"/>
  <c r="D33" i="10"/>
  <c r="C33" i="10" s="1"/>
  <c r="D34" i="10"/>
  <c r="E34" i="10" s="1"/>
  <c r="F34" i="10" s="1"/>
  <c r="C34" i="10"/>
  <c r="D35" i="10"/>
  <c r="C35" i="10" s="1"/>
  <c r="D36" i="10"/>
  <c r="C36" i="10" s="1"/>
  <c r="D37" i="10"/>
  <c r="C37" i="10" s="1"/>
  <c r="D38" i="10"/>
  <c r="C38" i="10"/>
  <c r="D39" i="10"/>
  <c r="C39" i="10" s="1"/>
  <c r="D40" i="10"/>
  <c r="C40" i="10"/>
  <c r="D41" i="10"/>
  <c r="C41" i="10" s="1"/>
  <c r="D6" i="10"/>
  <c r="E6" i="10" s="1"/>
  <c r="F6" i="10" s="1"/>
  <c r="D5" i="10"/>
  <c r="C5" i="10" s="1"/>
  <c r="M8" i="12"/>
  <c r="M9" i="12"/>
  <c r="M10" i="12"/>
  <c r="M12" i="12"/>
  <c r="M13" i="12"/>
  <c r="M16" i="12"/>
  <c r="M18" i="12"/>
  <c r="M20" i="12"/>
  <c r="M21" i="12"/>
  <c r="M24" i="12"/>
  <c r="M26" i="12"/>
  <c r="M28" i="12"/>
  <c r="M29" i="12"/>
  <c r="M30" i="12"/>
  <c r="M32" i="12"/>
  <c r="M34" i="12"/>
  <c r="M36" i="12"/>
  <c r="M37" i="12"/>
  <c r="M40" i="12"/>
  <c r="M41" i="12"/>
  <c r="M42" i="12"/>
  <c r="J41" i="12"/>
  <c r="E7" i="12"/>
  <c r="F7" i="12" s="1"/>
  <c r="D59" i="6"/>
  <c r="D164" i="6"/>
  <c r="D154" i="6"/>
  <c r="E43" i="12"/>
  <c r="F43" i="12" s="1"/>
  <c r="E42" i="12"/>
  <c r="F42" i="12" s="1"/>
  <c r="E41" i="12"/>
  <c r="F41" i="12" s="1"/>
  <c r="E40" i="12"/>
  <c r="F40" i="12"/>
  <c r="E39" i="12"/>
  <c r="F39" i="12" s="1"/>
  <c r="E38" i="12"/>
  <c r="F38" i="12" s="1"/>
  <c r="E37" i="12"/>
  <c r="F37" i="12" s="1"/>
  <c r="E36" i="12"/>
  <c r="F36" i="12"/>
  <c r="E35" i="12"/>
  <c r="F35" i="12" s="1"/>
  <c r="E34" i="12"/>
  <c r="F34" i="12"/>
  <c r="E33" i="12"/>
  <c r="F33" i="12" s="1"/>
  <c r="E32" i="12"/>
  <c r="F32" i="12"/>
  <c r="E31" i="12"/>
  <c r="F31" i="12" s="1"/>
  <c r="E30" i="12"/>
  <c r="F30" i="12" s="1"/>
  <c r="E29" i="12"/>
  <c r="F29" i="12" s="1"/>
  <c r="E28" i="12"/>
  <c r="F28" i="12"/>
  <c r="E27" i="12"/>
  <c r="F27" i="12" s="1"/>
  <c r="E26" i="12"/>
  <c r="F26" i="12" s="1"/>
  <c r="E25" i="12"/>
  <c r="F25" i="12" s="1"/>
  <c r="E24" i="12"/>
  <c r="F24" i="12"/>
  <c r="E23" i="12"/>
  <c r="F23" i="12" s="1"/>
  <c r="E22" i="12"/>
  <c r="F22" i="12" s="1"/>
  <c r="E21" i="12"/>
  <c r="F21" i="12" s="1"/>
  <c r="E20" i="12"/>
  <c r="F20" i="12"/>
  <c r="E19" i="12"/>
  <c r="F19" i="12" s="1"/>
  <c r="E18" i="12"/>
  <c r="F18" i="12"/>
  <c r="E17" i="12"/>
  <c r="F17" i="12" s="1"/>
  <c r="E16" i="12"/>
  <c r="F16" i="12"/>
  <c r="E15" i="12"/>
  <c r="F15" i="12" s="1"/>
  <c r="E14" i="12"/>
  <c r="F14" i="12" s="1"/>
  <c r="E13" i="12"/>
  <c r="F13" i="12" s="1"/>
  <c r="E12" i="12"/>
  <c r="F12" i="12"/>
  <c r="E11" i="12"/>
  <c r="F11" i="12" s="1"/>
  <c r="E10" i="12"/>
  <c r="F10" i="12" s="1"/>
  <c r="E9" i="12"/>
  <c r="F9" i="12" s="1"/>
  <c r="E8" i="12"/>
  <c r="F8" i="12"/>
  <c r="E42" i="10"/>
  <c r="F42" i="10" s="1"/>
  <c r="E41" i="10"/>
  <c r="F41" i="10" s="1"/>
  <c r="E40" i="10"/>
  <c r="F40" i="10" s="1"/>
  <c r="E38" i="10"/>
  <c r="F38" i="10" s="1"/>
  <c r="E37" i="10"/>
  <c r="F37" i="10"/>
  <c r="E36" i="10"/>
  <c r="F36" i="10" s="1"/>
  <c r="E35" i="10"/>
  <c r="F35" i="10"/>
  <c r="E33" i="10"/>
  <c r="F33" i="10" s="1"/>
  <c r="E32" i="10"/>
  <c r="F32" i="10" s="1"/>
  <c r="E31" i="10"/>
  <c r="F31" i="10"/>
  <c r="E29" i="10"/>
  <c r="F29" i="10" s="1"/>
  <c r="E27" i="10"/>
  <c r="F27" i="10"/>
  <c r="E26" i="10"/>
  <c r="F26" i="10" s="1"/>
  <c r="E25" i="10"/>
  <c r="F25" i="10" s="1"/>
  <c r="E24" i="10"/>
  <c r="F24" i="10" s="1"/>
  <c r="E23" i="10"/>
  <c r="F23" i="10"/>
  <c r="E21" i="10"/>
  <c r="F21" i="10"/>
  <c r="E20" i="10"/>
  <c r="F20" i="10" s="1"/>
  <c r="E18" i="10"/>
  <c r="F18" i="10" s="1"/>
  <c r="E17" i="10"/>
  <c r="F17" i="10" s="1"/>
  <c r="E16" i="10"/>
  <c r="F16" i="10" s="1"/>
  <c r="E13" i="10"/>
  <c r="F13" i="10" s="1"/>
  <c r="E11" i="10"/>
  <c r="F11" i="10" s="1"/>
  <c r="E10" i="10"/>
  <c r="F10" i="10"/>
  <c r="E9" i="10"/>
  <c r="F9" i="10" s="1"/>
  <c r="E8" i="10"/>
  <c r="F8" i="10" s="1"/>
  <c r="E42" i="9"/>
  <c r="F42" i="9"/>
  <c r="E41" i="9"/>
  <c r="F41" i="9"/>
  <c r="E40" i="9"/>
  <c r="F40" i="9" s="1"/>
  <c r="E39" i="9"/>
  <c r="F39" i="9" s="1"/>
  <c r="E38" i="9"/>
  <c r="F38" i="9"/>
  <c r="E37" i="9"/>
  <c r="F37" i="9" s="1"/>
  <c r="E36" i="9"/>
  <c r="F36" i="9" s="1"/>
  <c r="E35" i="9"/>
  <c r="F35" i="9" s="1"/>
  <c r="E34" i="9"/>
  <c r="F34" i="9" s="1"/>
  <c r="E33" i="9"/>
  <c r="F33" i="9"/>
  <c r="E32" i="9"/>
  <c r="F32" i="9" s="1"/>
  <c r="E31" i="9"/>
  <c r="F31" i="9"/>
  <c r="E30" i="9"/>
  <c r="F30" i="9" s="1"/>
  <c r="E29" i="9"/>
  <c r="F29" i="9" s="1"/>
  <c r="E28" i="9"/>
  <c r="F28" i="9" s="1"/>
  <c r="E27" i="9"/>
  <c r="F27" i="9"/>
  <c r="E26" i="9"/>
  <c r="F26" i="9" s="1"/>
  <c r="E25" i="9"/>
  <c r="F25" i="9" s="1"/>
  <c r="E24" i="9"/>
  <c r="F24" i="9" s="1"/>
  <c r="E23" i="9"/>
  <c r="F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/>
  <c r="E16" i="9"/>
  <c r="F16" i="9" s="1"/>
  <c r="E15" i="9"/>
  <c r="F15" i="9"/>
  <c r="E14" i="9"/>
  <c r="F14" i="9" s="1"/>
  <c r="E13" i="9"/>
  <c r="F13" i="9" s="1"/>
  <c r="E12" i="9"/>
  <c r="F12" i="9" s="1"/>
  <c r="E11" i="9"/>
  <c r="F11" i="9"/>
  <c r="E10" i="9"/>
  <c r="F10" i="9" s="1"/>
  <c r="E9" i="9"/>
  <c r="F9" i="9" s="1"/>
  <c r="E8" i="9"/>
  <c r="F8" i="9" s="1"/>
  <c r="E7" i="9"/>
  <c r="F7" i="9"/>
  <c r="E6" i="9"/>
  <c r="F6" i="9" s="1"/>
  <c r="E30" i="10" l="1"/>
  <c r="F30" i="10" s="1"/>
  <c r="H26" i="15"/>
  <c r="E15" i="10"/>
  <c r="F15" i="10" s="1"/>
  <c r="E22" i="10"/>
  <c r="F22" i="10" s="1"/>
  <c r="E7" i="10"/>
  <c r="F7" i="10" s="1"/>
  <c r="E28" i="10"/>
  <c r="F28" i="10" s="1"/>
  <c r="E39" i="10"/>
  <c r="F39" i="10" s="1"/>
  <c r="F11" i="15"/>
  <c r="F15" i="15"/>
  <c r="F19" i="15"/>
  <c r="F23" i="15"/>
  <c r="F27" i="15"/>
  <c r="F31" i="15"/>
  <c r="F35" i="15"/>
  <c r="H36" i="15"/>
  <c r="H32" i="15"/>
  <c r="H28" i="15"/>
  <c r="H24" i="15"/>
  <c r="H20" i="15"/>
  <c r="H16" i="15"/>
  <c r="H12" i="15"/>
  <c r="H8" i="15"/>
  <c r="E12" i="10"/>
  <c r="F12" i="10" s="1"/>
  <c r="C6" i="10"/>
  <c r="L154" i="6"/>
  <c r="L93" i="6"/>
  <c r="F9" i="15"/>
  <c r="F13" i="15"/>
  <c r="F17" i="15"/>
  <c r="F21" i="15"/>
  <c r="F25" i="15"/>
  <c r="F29" i="15"/>
  <c r="F33" i="15"/>
  <c r="F7" i="15"/>
  <c r="E14" i="10"/>
  <c r="F14" i="10" s="1"/>
  <c r="E19" i="10"/>
  <c r="F19" i="10" s="1"/>
  <c r="D93" i="6"/>
  <c r="D127" i="6" s="1"/>
  <c r="D129" i="6" s="1"/>
  <c r="D156" i="6" s="1"/>
  <c r="F156" i="6"/>
  <c r="F166" i="6" s="1"/>
  <c r="O59" i="6"/>
  <c r="O127" i="6" s="1"/>
  <c r="O129" i="6" s="1"/>
  <c r="O156" i="6" s="1"/>
  <c r="O166" i="6" s="1"/>
  <c r="S177" i="6" s="1"/>
  <c r="L59" i="6"/>
  <c r="I127" i="6"/>
  <c r="I129" i="6" s="1"/>
  <c r="I156" i="6" s="1"/>
  <c r="I166" i="6" s="1"/>
  <c r="L127" i="6" l="1"/>
  <c r="L129" i="6" s="1"/>
  <c r="L156" i="6" s="1"/>
  <c r="L166" i="6" s="1"/>
</calcChain>
</file>

<file path=xl/sharedStrings.xml><?xml version="1.0" encoding="utf-8"?>
<sst xmlns="http://schemas.openxmlformats.org/spreadsheetml/2006/main" count="650" uniqueCount="309">
  <si>
    <t>Governor</t>
  </si>
  <si>
    <t>Average Daily Membership Adjustment</t>
  </si>
  <si>
    <t>Average Salary Adjustment</t>
  </si>
  <si>
    <t>SPSF Adjustments</t>
  </si>
  <si>
    <t>Dept of Public Instruction</t>
  </si>
  <si>
    <t>DPI Adjustments</t>
  </si>
  <si>
    <t>Education Support Organizations</t>
  </si>
  <si>
    <t>ESO Adjustments</t>
  </si>
  <si>
    <t>Total Expansion/Reduction</t>
  </si>
  <si>
    <t>Total  Requirements</t>
  </si>
  <si>
    <t>Ending Appropriated Budget</t>
  </si>
  <si>
    <t>Health Benefit</t>
  </si>
  <si>
    <t>House</t>
  </si>
  <si>
    <t>R</t>
  </si>
  <si>
    <t>R= Recurring/ NR= Nonrecurring</t>
  </si>
  <si>
    <t>State Public School Fund - Expansion</t>
  </si>
  <si>
    <t>State Public School Fund - Continuation</t>
  </si>
  <si>
    <t>NR</t>
  </si>
  <si>
    <t>See separate tab</t>
  </si>
  <si>
    <t>Salary Increase</t>
  </si>
  <si>
    <t>Conference</t>
  </si>
  <si>
    <t>Beginning Appropriated Budget (Base)</t>
  </si>
  <si>
    <t>Retirement Rate</t>
  </si>
  <si>
    <t>FINAL</t>
  </si>
  <si>
    <t>Reserve for Salaries &amp; Benefits</t>
  </si>
  <si>
    <t>Reserves for Salary and Benefit Adjustments</t>
  </si>
  <si>
    <t>Senate</t>
  </si>
  <si>
    <t>Non certified and central office</t>
  </si>
  <si>
    <t>Retirement - LEA</t>
  </si>
  <si>
    <t>Retirement DPI</t>
  </si>
  <si>
    <t>Health DPI</t>
  </si>
  <si>
    <t>Health LEA</t>
  </si>
  <si>
    <t>Salary and Benefits</t>
  </si>
  <si>
    <t xml:space="preserve">Governors Proposed Teacher and Instructional Support Compensation </t>
  </si>
  <si>
    <t>Increase to Salary Schedule</t>
  </si>
  <si>
    <t>Years</t>
  </si>
  <si>
    <t>increase with Step</t>
  </si>
  <si>
    <t>Teachers and Instructional Support</t>
  </si>
  <si>
    <t>School Based Administrators</t>
  </si>
  <si>
    <t>% increase with Step</t>
  </si>
  <si>
    <t xml:space="preserve">    Educators Teachers-salary increase</t>
  </si>
  <si>
    <t>Total Expansion + Salary &amp; Benefits Requirements</t>
  </si>
  <si>
    <t xml:space="preserve">Other items affecting the K-12 Education </t>
  </si>
  <si>
    <t>In UNC Budget</t>
  </si>
  <si>
    <t xml:space="preserve">House Proposed Teacher and Instructional Support Compensation </t>
  </si>
  <si>
    <t>DPI Personnel-Sal Increase</t>
  </si>
  <si>
    <t>Increase</t>
  </si>
  <si>
    <t>2017-18 Proposed Salary Schedule</t>
  </si>
  <si>
    <t>Current</t>
  </si>
  <si>
    <t>Governor Proposal</t>
  </si>
  <si>
    <t>House Proposal</t>
  </si>
  <si>
    <t>Senate Proposal</t>
  </si>
  <si>
    <t>Bonuses:</t>
  </si>
  <si>
    <t>Comparison of Proposed Teacher and Instructional Support Salary Schedules</t>
  </si>
  <si>
    <t>Residential Schools</t>
  </si>
  <si>
    <t xml:space="preserve">updated </t>
  </si>
  <si>
    <t>Governors School</t>
  </si>
  <si>
    <t xml:space="preserve">Average increase </t>
  </si>
  <si>
    <t>2017-2018 Current "A" Salary Schedule</t>
  </si>
  <si>
    <t>2018-19 Proposed Salary Schedule</t>
  </si>
  <si>
    <t>2017-18</t>
  </si>
  <si>
    <t>2016-17 Current "A" Salary Schedule</t>
  </si>
  <si>
    <t>2017-18 Proposed Bonus(1)</t>
  </si>
  <si>
    <t>Assistant Principals</t>
  </si>
  <si>
    <t xml:space="preserve">   Non-Certified and Central Office Staff</t>
  </si>
  <si>
    <t xml:space="preserve">   Non-Certified </t>
  </si>
  <si>
    <t xml:space="preserve">    Master's Pay for Teachers</t>
  </si>
  <si>
    <t>Required Substitute Deduction for Personal Leave</t>
  </si>
  <si>
    <t>School Safety &amp; Youth Mental Health Positions</t>
  </si>
  <si>
    <t>Public Safety Improvements Reserve</t>
  </si>
  <si>
    <t>Professional Development for Teachers &amp; School Leaders</t>
  </si>
  <si>
    <t>Statewide regional Support Model (38 FTE)</t>
  </si>
  <si>
    <t>Cooperative Innovative HS</t>
  </si>
  <si>
    <t xml:space="preserve">     Textbook and Digital Materials</t>
  </si>
  <si>
    <t xml:space="preserve">     Learning Management System</t>
  </si>
  <si>
    <t xml:space="preserve">     NC Teacher Support Program</t>
  </si>
  <si>
    <t xml:space="preserve">     NBPTS Funding</t>
  </si>
  <si>
    <t xml:space="preserve">     Advanced Teaching Roles (4 new LEAs)</t>
  </si>
  <si>
    <t xml:space="preserve">     Recruitment of teachers of color</t>
  </si>
  <si>
    <t xml:space="preserve">    "Grow Your Own" Teacher Cadet Program</t>
  </si>
  <si>
    <t>Strengthening the Educator Workforce:</t>
  </si>
  <si>
    <t>Personalized Student Learning Resources:</t>
  </si>
  <si>
    <t>Renewal School District Evaluation</t>
  </si>
  <si>
    <t>Academically Gifted Students</t>
  </si>
  <si>
    <t>School Business Systems - LEA ERP</t>
  </si>
  <si>
    <t>Online Licensure System Enhancement</t>
  </si>
  <si>
    <t>Online Teacher Recruitment Tool</t>
  </si>
  <si>
    <t>Opportunity Scholarship Program</t>
  </si>
  <si>
    <t>FY 2019-20 Budget Comparison</t>
  </si>
  <si>
    <t>School Mental Health Grant</t>
  </si>
  <si>
    <t>Transportation Fuel adj</t>
  </si>
  <si>
    <t>School Safety Equipment Grant</t>
  </si>
  <si>
    <t>School Resource Officer Grant</t>
  </si>
  <si>
    <t>School Safety Training Grant</t>
  </si>
  <si>
    <t>Students in Crisis Grant</t>
  </si>
  <si>
    <t>Digital Learning Plan</t>
  </si>
  <si>
    <t>Computer Science Plan</t>
  </si>
  <si>
    <t>Virtual Early Learning Pilot</t>
  </si>
  <si>
    <t>Advanced Placement Partnership</t>
  </si>
  <si>
    <t>Weighted Student Funding Formula RFP</t>
  </si>
  <si>
    <t>Economics &amp; Financial Literacy</t>
  </si>
  <si>
    <t>REAL School Gardens</t>
  </si>
  <si>
    <t>BEGINNINGS</t>
  </si>
  <si>
    <t>Muddy Sneakers</t>
  </si>
  <si>
    <t>Eastern North Carolina STEM</t>
  </si>
  <si>
    <t>Life Changing Experiences Pilot Program</t>
  </si>
  <si>
    <t xml:space="preserve"> </t>
  </si>
  <si>
    <t xml:space="preserve">Receipts supported </t>
  </si>
  <si>
    <t>Lab Schools</t>
  </si>
  <si>
    <t>College Advising Corps</t>
  </si>
  <si>
    <t>Total Change Receipts Support</t>
  </si>
  <si>
    <t xml:space="preserve">     Instructional Supplies House:Classroom Supplies Program</t>
  </si>
  <si>
    <t>State Board of Education/   Superintendent</t>
  </si>
  <si>
    <t>Innovative Kindergarten Readiness Grants</t>
  </si>
  <si>
    <t>Innovative School District</t>
  </si>
  <si>
    <t>Statewide Contract Instructional online content</t>
  </si>
  <si>
    <t xml:space="preserve">SBE board room, DIT requirements for DPI </t>
  </si>
  <si>
    <t>DPI support positions - finance and audit</t>
  </si>
  <si>
    <t>College Career Readiness graduate remediation tool</t>
  </si>
  <si>
    <t>Civil Fines and Forfeitures</t>
  </si>
  <si>
    <t>Cybersecurity</t>
  </si>
  <si>
    <t>Higher of 1% or $500</t>
  </si>
  <si>
    <t>Step+</t>
  </si>
  <si>
    <t>Capital Grants from lottery receipts</t>
  </si>
  <si>
    <t>School Nutrition Reduced Price Meals-student co pay</t>
  </si>
  <si>
    <t>Program to purchase locally grown agricultural products</t>
  </si>
  <si>
    <t>Student Data &amp; Information System Enhancement</t>
  </si>
  <si>
    <t>Competency Based Mathematics Education Pilot</t>
  </si>
  <si>
    <t>Technology Internships</t>
  </si>
  <si>
    <t>Advanced Data Analytics</t>
  </si>
  <si>
    <t>Data Analytics Section at DPI</t>
  </si>
  <si>
    <t>SBE staffing</t>
  </si>
  <si>
    <t>NCCAT</t>
  </si>
  <si>
    <t>Principals</t>
  </si>
  <si>
    <t>Effective January 1, 2020</t>
  </si>
  <si>
    <t>2018-19 until 12/31/2018 Current "A" Salary Schedule</t>
  </si>
  <si>
    <t>Step increase</t>
  </si>
  <si>
    <t>Total increase with step</t>
  </si>
  <si>
    <t>Charter School Data Management</t>
  </si>
  <si>
    <t>(1)</t>
  </si>
  <si>
    <t>(2)</t>
  </si>
  <si>
    <t>(1) From IT reserve</t>
  </si>
  <si>
    <t>$12m effective 5/31/2019/$39m effective 7/1/2019</t>
  </si>
  <si>
    <t xml:space="preserve">   School-Based Administrators-Asst Principals &amp; Principals</t>
  </si>
  <si>
    <t>Recruit bonus for new teachers in small county</t>
  </si>
  <si>
    <t>Short Term disability</t>
  </si>
  <si>
    <t>Short term disability</t>
  </si>
  <si>
    <t>New School Psychologist Allotment</t>
  </si>
  <si>
    <t>UERS</t>
  </si>
  <si>
    <t>School Bus Replacement</t>
  </si>
  <si>
    <t>Transportation</t>
  </si>
  <si>
    <t>R/NR</t>
  </si>
  <si>
    <t>DPI Position reduction - vacant</t>
  </si>
  <si>
    <t>Residential School position reduction - vacant</t>
  </si>
  <si>
    <t>NCCAT Position reduction - Vacant</t>
  </si>
  <si>
    <t>Grant to Guilford County For CTE program</t>
  </si>
  <si>
    <t>ISS - South Iredell HS for construction of a barn</t>
  </si>
  <si>
    <t xml:space="preserve">  Veteran Teacher Bonus</t>
  </si>
  <si>
    <t xml:space="preserve">   Principals Recruitment Supplement</t>
  </si>
  <si>
    <t xml:space="preserve">Sales and Use Tax </t>
  </si>
  <si>
    <t>$12m effective 7/1/2019</t>
  </si>
  <si>
    <t>safety grants</t>
  </si>
  <si>
    <t xml:space="preserve">Indian Gaming </t>
  </si>
  <si>
    <t>Textbook digital res</t>
  </si>
  <si>
    <t>Fines and Forfeitures</t>
  </si>
  <si>
    <t>Sales and Use Tax</t>
  </si>
  <si>
    <t>SPSF</t>
  </si>
  <si>
    <t>Classroom Supplies</t>
  </si>
  <si>
    <t>HOUSE 1/1/2020</t>
  </si>
  <si>
    <t>SENATE 7/1/2019</t>
  </si>
  <si>
    <t>2018-19 Current "A" Salary Schedule</t>
  </si>
  <si>
    <t>Effective July 1, 2019</t>
  </si>
  <si>
    <r>
      <rPr>
        <b/>
        <sz val="11"/>
        <color rgb="FFFF0000"/>
        <rFont val="Calibri"/>
        <family val="2"/>
        <scheme val="minor"/>
      </rPr>
      <t>1/1/2020</t>
    </r>
    <r>
      <rPr>
        <b/>
        <sz val="11"/>
        <color theme="1"/>
        <rFont val="Calibri"/>
        <family val="2"/>
        <scheme val="minor"/>
      </rPr>
      <t xml:space="preserve"> Proposed Salary Schedule</t>
    </r>
  </si>
  <si>
    <t>Bonus</t>
  </si>
  <si>
    <t>% increase incl Bonus</t>
  </si>
  <si>
    <t xml:space="preserve">ADM </t>
  </si>
  <si>
    <t>Base</t>
  </si>
  <si>
    <t>Met Growth</t>
  </si>
  <si>
    <t>Exceeded Growth</t>
  </si>
  <si>
    <t>0-400</t>
  </si>
  <si>
    <t>401-700</t>
  </si>
  <si>
    <t>701-1,000</t>
  </si>
  <si>
    <t>1,001-1,300</t>
  </si>
  <si>
    <t>1,301</t>
  </si>
  <si>
    <t>2018-19</t>
  </si>
  <si>
    <t>1,001-1,600</t>
  </si>
  <si>
    <t>1,601</t>
  </si>
  <si>
    <t>0-200</t>
  </si>
  <si>
    <t>201-400</t>
  </si>
  <si>
    <t>Top 5%</t>
  </si>
  <si>
    <t>Top 10%</t>
  </si>
  <si>
    <t>Top 15%</t>
  </si>
  <si>
    <t>Top 20%</t>
  </si>
  <si>
    <t>Top 50%</t>
  </si>
  <si>
    <t>Eliminates the double bonus for principals in D/F schools</t>
  </si>
  <si>
    <t>Includes a $30,000 supplement for principals who are paid on the exceeded growth column who are employed at a qualifying low performing school</t>
  </si>
  <si>
    <t>HOUSE</t>
  </si>
  <si>
    <t>SENATE</t>
  </si>
  <si>
    <t>1,301-1,600</t>
  </si>
  <si>
    <t>A+25%</t>
  </si>
  <si>
    <t>+ $8,000</t>
  </si>
  <si>
    <t>+ $10,000</t>
  </si>
  <si>
    <t>+ $4,000</t>
  </si>
  <si>
    <t>+ $2,000</t>
  </si>
  <si>
    <t>+ $6,000</t>
  </si>
  <si>
    <t>+ $12,000</t>
  </si>
  <si>
    <t>+ $14,000</t>
  </si>
  <si>
    <t>+ $16,000</t>
  </si>
  <si>
    <t>+ $18,000</t>
  </si>
  <si>
    <t>Based on  size of school and performance</t>
  </si>
  <si>
    <t>Based on total educator years of experience - size of school and performance</t>
  </si>
  <si>
    <t>Effective 1/1/2020</t>
  </si>
  <si>
    <t>Effective 7/1/2019</t>
  </si>
  <si>
    <t>Note 1</t>
  </si>
  <si>
    <t>Double bonus for principals in D/F schools in the prior year</t>
  </si>
  <si>
    <t>ASSISTANT PRINCIPALS</t>
  </si>
  <si>
    <t>Schedule change effective 1/1/2020</t>
  </si>
  <si>
    <t>A + 20%</t>
  </si>
  <si>
    <t>eliminates adv and doctorate differential ($126/$253 per month)</t>
  </si>
  <si>
    <t>No change</t>
  </si>
  <si>
    <t>NA</t>
  </si>
  <si>
    <t>Other</t>
  </si>
  <si>
    <t>Step +</t>
  </si>
  <si>
    <t xml:space="preserve">Veteran Teacher retention Bonus $500 15-24years/$1,000 25 years+ </t>
  </si>
  <si>
    <t>Ties schedule to teacher schedule + additional for size of school and performance</t>
  </si>
  <si>
    <t>Average increase excl bonus</t>
  </si>
  <si>
    <t>Teacher A + 20%</t>
  </si>
  <si>
    <t>Teacher A + 19%</t>
  </si>
  <si>
    <t>1% or $500 (higher of)</t>
  </si>
  <si>
    <t>Reinstates Masters 10% differential</t>
  </si>
  <si>
    <t>All increases effective Jan 1, 2020</t>
  </si>
  <si>
    <t>All increases effective July 1, 2019</t>
  </si>
  <si>
    <t>Average increase</t>
  </si>
  <si>
    <t>eliminates double bonus for D/F</t>
  </si>
  <si>
    <t>Salary</t>
  </si>
  <si>
    <t>Teacher recruitment bonus Small County up to $2,000</t>
  </si>
  <si>
    <t xml:space="preserve">1% </t>
  </si>
  <si>
    <t>(other state employees 2.5%)</t>
  </si>
  <si>
    <r>
      <rPr>
        <b/>
        <sz val="11"/>
        <color rgb="FFFF0000"/>
        <rFont val="Calibri"/>
        <family val="2"/>
        <scheme val="minor"/>
      </rPr>
      <t>7/1/2019</t>
    </r>
    <r>
      <rPr>
        <b/>
        <sz val="11"/>
        <color theme="1"/>
        <rFont val="Calibri"/>
        <family val="2"/>
        <scheme val="minor"/>
      </rPr>
      <t xml:space="preserve"> Proposed Salary Schedule</t>
    </r>
  </si>
  <si>
    <t>BONUS</t>
  </si>
  <si>
    <t>PRINCIPALS</t>
  </si>
  <si>
    <t>Modifies pay levels for school size and adds a pay level for schools with more than 1,600 ADM</t>
  </si>
  <si>
    <t>Eliminate advanced and doc differential</t>
  </si>
  <si>
    <t>Moves school counselors to the psychologist schedule</t>
  </si>
  <si>
    <t>Proposed Teacher and Instructional Support Schedules</t>
  </si>
  <si>
    <t xml:space="preserve">HOUSE  - Proposed Teacher and Instructional Support Compensation </t>
  </si>
  <si>
    <t xml:space="preserve">SENATE -  Proposed Teacher and Instructional Support Compensation </t>
  </si>
  <si>
    <t>Summary of Salary and Benefits - Proposed 2019-2020</t>
  </si>
  <si>
    <t>2019-2020</t>
  </si>
  <si>
    <t>Summary of School Based Administrator pay Proposals for 2019-2020</t>
  </si>
  <si>
    <t>NC Hospitality Education Foundation</t>
  </si>
  <si>
    <t xml:space="preserve">Other </t>
  </si>
  <si>
    <t>(2) House - From unappropriated General Fund balance</t>
  </si>
  <si>
    <t>Senate - from reserves and Transfers</t>
  </si>
  <si>
    <t>Senate - Receipt Supported Funding</t>
  </si>
  <si>
    <t>$30,000 supplement for principals who are paid on the exceeded growth column who are employed at a qualifying low performing school</t>
  </si>
  <si>
    <t>Sect.38. - 21 5 days bonus annual leave</t>
  </si>
  <si>
    <t>Sect. 38.25 Rehire retired teachers for high needs schools and STEM</t>
  </si>
  <si>
    <t>Read to Achieve Reading Camp Pilot</t>
  </si>
  <si>
    <t>Physical security</t>
  </si>
  <si>
    <t>Adds a pay level for schools with more than 1,600 ADM</t>
  </si>
  <si>
    <t xml:space="preserve">School Counselors increase </t>
  </si>
  <si>
    <t>Transportation EC children reserve(S) Homeless(Conf)</t>
  </si>
  <si>
    <t>Holocaust &amp; Genocide Education</t>
  </si>
  <si>
    <t>Military Family counselors (2 LEA, 1 DPI)</t>
  </si>
  <si>
    <t>EC funding contract</t>
  </si>
  <si>
    <t>SEA Tech HS - New Hanover</t>
  </si>
  <si>
    <t>Goldsboro National Math science Initiative</t>
  </si>
  <si>
    <t>Harnett County Schools</t>
  </si>
  <si>
    <t>Lenoir Co Public Schools</t>
  </si>
  <si>
    <t>Haywood Community Learning Center</t>
  </si>
  <si>
    <t>Tri County Early College</t>
  </si>
  <si>
    <t>Scotland Co Air Rifle Range</t>
  </si>
  <si>
    <t>Buncombe Co Schools Foundation</t>
  </si>
  <si>
    <t>Henderson Co Education Foundation</t>
  </si>
  <si>
    <t>High Point LEAP</t>
  </si>
  <si>
    <t>Broadview Middle School- Alamance Burlington</t>
  </si>
  <si>
    <t>Union Co Education foundation</t>
  </si>
  <si>
    <t>Vanguard Educational Institute - Roanoke</t>
  </si>
  <si>
    <t>Union Day School Foundation</t>
  </si>
  <si>
    <t>Union Academy Foundation</t>
  </si>
  <si>
    <t>Columbus Career &amp; College Academy</t>
  </si>
  <si>
    <t>Robeson County Career Center</t>
  </si>
  <si>
    <t xml:space="preserve">CONFERENCE  - Proposed Teacher and Instructional Support Compensation </t>
  </si>
  <si>
    <t>CONFERENCE 7/1/2019</t>
  </si>
  <si>
    <t>CONFERENCE</t>
  </si>
  <si>
    <t>CONFERENCE and SENATE</t>
  </si>
  <si>
    <t>CONFERENCE &amp; SENATE</t>
  </si>
  <si>
    <t>Yadkin Valley Regional Career Academy - Davidson Co</t>
  </si>
  <si>
    <t>York Chester Middle School- Gaston Co</t>
  </si>
  <si>
    <t>Veteran Teacher retention Bonus $500 25+years</t>
  </si>
  <si>
    <t>15/42</t>
  </si>
  <si>
    <t>36/45</t>
  </si>
  <si>
    <t>Instructional Support Allotment</t>
  </si>
  <si>
    <t>7B.1</t>
  </si>
  <si>
    <t>7B.3</t>
  </si>
  <si>
    <t>7B.1(6)</t>
  </si>
  <si>
    <t>7B.9</t>
  </si>
  <si>
    <t>7B.4</t>
  </si>
  <si>
    <t>7B.5</t>
  </si>
  <si>
    <t>7B.7</t>
  </si>
  <si>
    <t>money rpt</t>
  </si>
  <si>
    <t>Reference</t>
  </si>
  <si>
    <t>H966</t>
  </si>
  <si>
    <t>Budget is not final until ratified</t>
  </si>
  <si>
    <t>Provide counselors $80 per month supplement</t>
  </si>
  <si>
    <t>TBD</t>
  </si>
  <si>
    <t>Not Final until ratified</t>
  </si>
  <si>
    <t>7/1/2019 Proposed Salary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</si>
</sst>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General_)"/>
    <numFmt numFmtId="168" formatCode="&quot;$&quot;#,##0.000_);[Red]\(&quot;$&quot;#,##0.00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.5"/>
      <name val="Arial"/>
      <family val="2"/>
    </font>
    <font>
      <b/>
      <sz val="9.5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.5"/>
      <name val="Arial"/>
      <family val="2"/>
    </font>
    <font>
      <sz val="11"/>
      <name val="Arial Rounded MT Bold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6.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Courier"/>
    </font>
    <font>
      <sz val="18"/>
      <name val="Arial"/>
      <family val="2"/>
    </font>
    <font>
      <sz val="1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167" fontId="29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515">
    <xf numFmtId="0" fontId="0" fillId="0" borderId="0" xfId="0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/>
    <xf numFmtId="164" fontId="8" fillId="0" borderId="0" xfId="1" applyNumberFormat="1" applyFont="1" applyFill="1" applyBorder="1"/>
    <xf numFmtId="0" fontId="10" fillId="0" borderId="0" xfId="0" applyFont="1" applyFill="1" applyBorder="1"/>
    <xf numFmtId="0" fontId="12" fillId="0" borderId="4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center" wrapText="1"/>
    </xf>
    <xf numFmtId="0" fontId="10" fillId="0" borderId="5" xfId="0" applyFont="1" applyFill="1" applyBorder="1"/>
    <xf numFmtId="164" fontId="8" fillId="0" borderId="3" xfId="1" applyNumberFormat="1" applyFont="1" applyFill="1" applyBorder="1"/>
    <xf numFmtId="0" fontId="9" fillId="0" borderId="0" xfId="0" applyFont="1" applyFill="1" applyBorder="1" applyAlignment="1">
      <alignment horizontal="right"/>
    </xf>
    <xf numFmtId="164" fontId="8" fillId="0" borderId="6" xfId="1" applyNumberFormat="1" applyFont="1" applyFill="1" applyBorder="1"/>
    <xf numFmtId="0" fontId="10" fillId="0" borderId="0" xfId="0" applyFont="1" applyFill="1" applyBorder="1" applyAlignment="1">
      <alignment horizontal="left"/>
    </xf>
    <xf numFmtId="164" fontId="8" fillId="0" borderId="7" xfId="1" applyNumberFormat="1" applyFont="1" applyFill="1" applyBorder="1"/>
    <xf numFmtId="164" fontId="8" fillId="0" borderId="8" xfId="1" applyNumberFormat="1" applyFont="1" applyFill="1" applyBorder="1"/>
    <xf numFmtId="0" fontId="10" fillId="0" borderId="9" xfId="0" applyFont="1" applyFill="1" applyBorder="1"/>
    <xf numFmtId="0" fontId="1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65" fontId="8" fillId="0" borderId="11" xfId="2" applyNumberFormat="1" applyFont="1" applyFill="1" applyBorder="1"/>
    <xf numFmtId="0" fontId="10" fillId="0" borderId="0" xfId="0" applyFont="1" applyFill="1"/>
    <xf numFmtId="0" fontId="8" fillId="0" borderId="0" xfId="0" applyFont="1" applyFill="1"/>
    <xf numFmtId="164" fontId="8" fillId="0" borderId="0" xfId="1" applyNumberFormat="1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0" fontId="15" fillId="0" borderId="0" xfId="0" applyFont="1" applyFill="1" applyAlignment="1">
      <alignment horizontal="right" wrapText="1"/>
    </xf>
    <xf numFmtId="164" fontId="16" fillId="0" borderId="0" xfId="1" applyNumberFormat="1" applyFont="1" applyFill="1" applyBorder="1"/>
    <xf numFmtId="0" fontId="6" fillId="0" borderId="0" xfId="0" applyFont="1" applyFill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5" fontId="11" fillId="0" borderId="12" xfId="2" applyNumberFormat="1" applyFont="1" applyFill="1" applyBorder="1"/>
    <xf numFmtId="164" fontId="8" fillId="0" borderId="0" xfId="1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 wrapText="1"/>
    </xf>
    <xf numFmtId="0" fontId="19" fillId="0" borderId="0" xfId="0" applyFont="1"/>
    <xf numFmtId="0" fontId="10" fillId="0" borderId="0" xfId="0" applyFont="1" applyFill="1" applyBorder="1" applyAlignment="1">
      <alignment horizontal="center"/>
    </xf>
    <xf numFmtId="49" fontId="10" fillId="0" borderId="5" xfId="1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0" borderId="0" xfId="0" applyFont="1" applyFill="1" applyAlignment="1">
      <alignment horizontal="right" vertical="center" wrapText="1"/>
    </xf>
    <xf numFmtId="165" fontId="8" fillId="0" borderId="16" xfId="2" applyNumberFormat="1" applyFont="1" applyFill="1" applyBorder="1" applyAlignment="1">
      <alignment horizontal="right" wrapText="1"/>
    </xf>
    <xf numFmtId="10" fontId="8" fillId="0" borderId="15" xfId="4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20" fillId="0" borderId="0" xfId="0" applyFont="1" applyFill="1"/>
    <xf numFmtId="0" fontId="20" fillId="0" borderId="17" xfId="0" applyFont="1" applyBorder="1" applyAlignment="1">
      <alignment horizontal="center"/>
    </xf>
    <xf numFmtId="0" fontId="20" fillId="0" borderId="0" xfId="0" applyFont="1"/>
    <xf numFmtId="0" fontId="19" fillId="0" borderId="0" xfId="0" applyFont="1" applyAlignment="1">
      <alignment vertical="top"/>
    </xf>
    <xf numFmtId="0" fontId="0" fillId="0" borderId="10" xfId="0" applyBorder="1"/>
    <xf numFmtId="0" fontId="10" fillId="0" borderId="19" xfId="0" applyFont="1" applyFill="1" applyBorder="1"/>
    <xf numFmtId="164" fontId="8" fillId="0" borderId="19" xfId="1" applyNumberFormat="1" applyFont="1" applyFill="1" applyBorder="1"/>
    <xf numFmtId="0" fontId="0" fillId="0" borderId="19" xfId="0" applyBorder="1"/>
    <xf numFmtId="0" fontId="0" fillId="0" borderId="0" xfId="0" applyBorder="1"/>
    <xf numFmtId="164" fontId="8" fillId="0" borderId="20" xfId="1" applyNumberFormat="1" applyFont="1" applyFill="1" applyBorder="1"/>
    <xf numFmtId="0" fontId="0" fillId="0" borderId="0" xfId="0" applyFill="1"/>
    <xf numFmtId="164" fontId="0" fillId="0" borderId="0" xfId="0" applyNumberFormat="1"/>
    <xf numFmtId="0" fontId="21" fillId="0" borderId="0" xfId="0" applyFont="1" applyFill="1" applyAlignment="1">
      <alignment horizontal="left" wrapText="1"/>
    </xf>
    <xf numFmtId="0" fontId="5" fillId="0" borderId="0" xfId="0" applyFont="1"/>
    <xf numFmtId="164" fontId="5" fillId="0" borderId="21" xfId="1" applyNumberFormat="1" applyFont="1" applyFill="1" applyBorder="1"/>
    <xf numFmtId="164" fontId="5" fillId="0" borderId="23" xfId="1" applyNumberFormat="1" applyFont="1" applyFill="1" applyBorder="1"/>
    <xf numFmtId="0" fontId="5" fillId="0" borderId="0" xfId="0" applyFont="1" applyBorder="1"/>
    <xf numFmtId="0" fontId="8" fillId="0" borderId="0" xfId="0" applyFont="1" applyFill="1" applyBorder="1"/>
    <xf numFmtId="164" fontId="10" fillId="0" borderId="0" xfId="1" applyNumberFormat="1" applyFont="1" applyFill="1" applyBorder="1"/>
    <xf numFmtId="164" fontId="5" fillId="0" borderId="25" xfId="1" applyNumberFormat="1" applyFont="1" applyFill="1" applyBorder="1"/>
    <xf numFmtId="164" fontId="5" fillId="0" borderId="20" xfId="1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5" fillId="0" borderId="26" xfId="0" applyFont="1" applyFill="1" applyBorder="1"/>
    <xf numFmtId="0" fontId="20" fillId="0" borderId="0" xfId="0" applyFont="1" applyFill="1" applyBorder="1" applyAlignment="1">
      <alignment horizontal="center"/>
    </xf>
    <xf numFmtId="164" fontId="25" fillId="0" borderId="21" xfId="1" applyNumberFormat="1" applyFont="1" applyFill="1" applyBorder="1"/>
    <xf numFmtId="0" fontId="10" fillId="0" borderId="33" xfId="0" applyFont="1" applyFill="1" applyBorder="1"/>
    <xf numFmtId="164" fontId="25" fillId="0" borderId="25" xfId="1" applyNumberFormat="1" applyFont="1" applyFill="1" applyBorder="1"/>
    <xf numFmtId="0" fontId="10" fillId="0" borderId="29" xfId="0" applyFont="1" applyFill="1" applyBorder="1"/>
    <xf numFmtId="164" fontId="8" fillId="0" borderId="34" xfId="1" applyNumberFormat="1" applyFont="1" applyFill="1" applyBorder="1"/>
    <xf numFmtId="49" fontId="10" fillId="0" borderId="0" xfId="1" applyNumberFormat="1" applyFont="1" applyFill="1" applyBorder="1"/>
    <xf numFmtId="0" fontId="10" fillId="0" borderId="30" xfId="0" applyFont="1" applyFill="1" applyBorder="1"/>
    <xf numFmtId="0" fontId="13" fillId="0" borderId="9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9" fillId="0" borderId="9" xfId="0" applyFont="1" applyFill="1" applyBorder="1"/>
    <xf numFmtId="0" fontId="5" fillId="0" borderId="16" xfId="0" applyFont="1" applyFill="1" applyBorder="1"/>
    <xf numFmtId="0" fontId="5" fillId="0" borderId="17" xfId="0" applyFont="1" applyFill="1" applyBorder="1"/>
    <xf numFmtId="0" fontId="5" fillId="0" borderId="26" xfId="0" applyFont="1" applyFill="1" applyBorder="1" applyAlignment="1">
      <alignment horizontal="left" wrapText="1"/>
    </xf>
    <xf numFmtId="0" fontId="8" fillId="0" borderId="17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12" fillId="0" borderId="19" xfId="0" applyFont="1" applyFill="1" applyBorder="1" applyAlignment="1">
      <alignment horizontal="center"/>
    </xf>
    <xf numFmtId="0" fontId="10" fillId="0" borderId="7" xfId="0" applyFont="1" applyFill="1" applyBorder="1"/>
    <xf numFmtId="164" fontId="5" fillId="0" borderId="23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right"/>
    </xf>
    <xf numFmtId="0" fontId="10" fillId="0" borderId="38" xfId="0" applyFont="1" applyFill="1" applyBorder="1"/>
    <xf numFmtId="164" fontId="25" fillId="0" borderId="20" xfId="1" applyNumberFormat="1" applyFont="1" applyFill="1" applyBorder="1"/>
    <xf numFmtId="6" fontId="0" fillId="0" borderId="0" xfId="0" applyNumberFormat="1"/>
    <xf numFmtId="166" fontId="0" fillId="0" borderId="0" xfId="4" applyNumberFormat="1" applyFont="1"/>
    <xf numFmtId="165" fontId="0" fillId="0" borderId="0" xfId="2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164" fontId="5" fillId="0" borderId="42" xfId="1" applyNumberFormat="1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165" fontId="5" fillId="0" borderId="0" xfId="2" applyNumberFormat="1" applyFont="1"/>
    <xf numFmtId="0" fontId="8" fillId="0" borderId="0" xfId="0" applyFont="1" applyAlignment="1">
      <alignment horizontal="left" vertical="center"/>
    </xf>
    <xf numFmtId="6" fontId="0" fillId="0" borderId="0" xfId="0" applyNumberFormat="1" applyAlignment="1">
      <alignment horizontal="left" vertical="center"/>
    </xf>
    <xf numFmtId="166" fontId="0" fillId="0" borderId="0" xfId="4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10" fontId="0" fillId="0" borderId="0" xfId="0" applyNumberFormat="1"/>
    <xf numFmtId="9" fontId="0" fillId="0" borderId="0" xfId="0" applyNumberFormat="1"/>
    <xf numFmtId="165" fontId="8" fillId="0" borderId="0" xfId="2" quotePrefix="1" applyNumberFormat="1" applyFont="1" applyFill="1" applyBorder="1"/>
    <xf numFmtId="164" fontId="5" fillId="0" borderId="15" xfId="1" applyNumberFormat="1" applyFont="1" applyFill="1" applyBorder="1"/>
    <xf numFmtId="164" fontId="5" fillId="0" borderId="43" xfId="1" applyNumberFormat="1" applyFont="1" applyFill="1" applyBorder="1"/>
    <xf numFmtId="49" fontId="5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/>
    </xf>
    <xf numFmtId="0" fontId="18" fillId="0" borderId="0" xfId="0" applyFont="1" applyBorder="1"/>
    <xf numFmtId="0" fontId="5" fillId="0" borderId="15" xfId="0" applyFont="1" applyFill="1" applyBorder="1" applyAlignment="1">
      <alignment horizontal="left"/>
    </xf>
    <xf numFmtId="0" fontId="5" fillId="0" borderId="43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24" fillId="2" borderId="4" xfId="3" applyFont="1" applyFill="1" applyBorder="1" applyAlignment="1">
      <alignment wrapText="1"/>
    </xf>
    <xf numFmtId="0" fontId="23" fillId="0" borderId="21" xfId="3" applyBorder="1" applyAlignment="1">
      <alignment horizontal="center" vertical="center"/>
    </xf>
    <xf numFmtId="6" fontId="23" fillId="0" borderId="14" xfId="3" applyNumberFormat="1" applyBorder="1"/>
    <xf numFmtId="6" fontId="23" fillId="0" borderId="14" xfId="3" applyNumberFormat="1" applyFill="1" applyBorder="1"/>
    <xf numFmtId="0" fontId="23" fillId="0" borderId="23" xfId="3" applyBorder="1" applyAlignment="1">
      <alignment horizontal="center" vertical="center"/>
    </xf>
    <xf numFmtId="6" fontId="23" fillId="0" borderId="1" xfId="3" applyNumberFormat="1" applyBorder="1"/>
    <xf numFmtId="6" fontId="23" fillId="0" borderId="1" xfId="3" applyNumberFormat="1" applyFill="1" applyBorder="1"/>
    <xf numFmtId="166" fontId="23" fillId="0" borderId="1" xfId="4" applyNumberFormat="1" applyFont="1" applyFill="1" applyBorder="1"/>
    <xf numFmtId="6" fontId="23" fillId="0" borderId="29" xfId="3" applyNumberFormat="1" applyBorder="1"/>
    <xf numFmtId="0" fontId="23" fillId="0" borderId="20" xfId="3" applyBorder="1" applyAlignment="1">
      <alignment horizontal="center" vertical="center"/>
    </xf>
    <xf numFmtId="6" fontId="23" fillId="0" borderId="13" xfId="3" applyNumberFormat="1" applyBorder="1"/>
    <xf numFmtId="6" fontId="23" fillId="0" borderId="13" xfId="3" applyNumberFormat="1" applyFill="1" applyBorder="1"/>
    <xf numFmtId="166" fontId="23" fillId="0" borderId="13" xfId="4" applyNumberFormat="1" applyFont="1" applyFill="1" applyBorder="1"/>
    <xf numFmtId="6" fontId="23" fillId="0" borderId="30" xfId="3" applyNumberFormat="1" applyBorder="1"/>
    <xf numFmtId="164" fontId="26" fillId="0" borderId="4" xfId="1" applyNumberFormat="1" applyFont="1" applyFill="1" applyBorder="1"/>
    <xf numFmtId="164" fontId="8" fillId="0" borderId="0" xfId="1" applyNumberFormat="1" applyFont="1" applyFill="1" applyBorder="1" applyAlignment="1">
      <alignment horizontal="right"/>
    </xf>
    <xf numFmtId="164" fontId="5" fillId="0" borderId="21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0" fontId="22" fillId="0" borderId="0" xfId="0" applyFont="1" applyFill="1" applyBorder="1"/>
    <xf numFmtId="0" fontId="8" fillId="0" borderId="45" xfId="0" applyFont="1" applyBorder="1" applyAlignment="1">
      <alignment vertical="top"/>
    </xf>
    <xf numFmtId="164" fontId="0" fillId="0" borderId="45" xfId="0" applyNumberFormat="1" applyBorder="1"/>
    <xf numFmtId="0" fontId="8" fillId="0" borderId="43" xfId="0" applyFont="1" applyBorder="1"/>
    <xf numFmtId="164" fontId="0" fillId="0" borderId="43" xfId="1" applyNumberFormat="1" applyFont="1" applyBorder="1"/>
    <xf numFmtId="0" fontId="5" fillId="0" borderId="17" xfId="0" applyFont="1" applyBorder="1" applyAlignment="1"/>
    <xf numFmtId="0" fontId="5" fillId="0" borderId="0" xfId="0" applyFont="1" applyAlignment="1"/>
    <xf numFmtId="164" fontId="5" fillId="0" borderId="17" xfId="0" applyNumberFormat="1" applyFont="1" applyBorder="1"/>
    <xf numFmtId="164" fontId="25" fillId="0" borderId="15" xfId="1" applyNumberFormat="1" applyFont="1" applyFill="1" applyBorder="1"/>
    <xf numFmtId="0" fontId="10" fillId="0" borderId="46" xfId="0" applyFont="1" applyFill="1" applyBorder="1"/>
    <xf numFmtId="0" fontId="10" fillId="0" borderId="35" xfId="0" applyFont="1" applyFill="1" applyBorder="1"/>
    <xf numFmtId="0" fontId="10" fillId="0" borderId="28" xfId="0" applyFont="1" applyFill="1" applyBorder="1"/>
    <xf numFmtId="49" fontId="10" fillId="0" borderId="29" xfId="1" applyNumberFormat="1" applyFont="1" applyFill="1" applyBorder="1"/>
    <xf numFmtId="49" fontId="10" fillId="0" borderId="38" xfId="1" applyNumberFormat="1" applyFont="1" applyFill="1" applyBorder="1"/>
    <xf numFmtId="49" fontId="10" fillId="0" borderId="30" xfId="1" applyNumberFormat="1" applyFont="1" applyFill="1" applyBorder="1"/>
    <xf numFmtId="164" fontId="25" fillId="0" borderId="28" xfId="1" applyNumberFormat="1" applyFont="1" applyFill="1" applyBorder="1"/>
    <xf numFmtId="164" fontId="27" fillId="0" borderId="9" xfId="1" applyNumberFormat="1" applyFont="1" applyFill="1" applyBorder="1"/>
    <xf numFmtId="0" fontId="10" fillId="0" borderId="44" xfId="0" applyFont="1" applyFill="1" applyBorder="1"/>
    <xf numFmtId="49" fontId="10" fillId="0" borderId="44" xfId="1" applyNumberFormat="1" applyFont="1" applyFill="1" applyBorder="1"/>
    <xf numFmtId="0" fontId="10" fillId="0" borderId="9" xfId="0" applyFont="1" applyFill="1" applyBorder="1" applyAlignment="1">
      <alignment horizontal="left"/>
    </xf>
    <xf numFmtId="0" fontId="20" fillId="0" borderId="0" xfId="0" applyFont="1" applyBorder="1"/>
    <xf numFmtId="0" fontId="22" fillId="0" borderId="35" xfId="0" applyFont="1" applyFill="1" applyBorder="1"/>
    <xf numFmtId="165" fontId="0" fillId="0" borderId="0" xfId="0" applyNumberFormat="1"/>
    <xf numFmtId="6" fontId="23" fillId="0" borderId="28" xfId="3" applyNumberFormat="1" applyFill="1" applyBorder="1"/>
    <xf numFmtId="165" fontId="0" fillId="0" borderId="0" xfId="2" applyNumberFormat="1" applyFont="1" applyAlignment="1">
      <alignment horizontal="left"/>
    </xf>
    <xf numFmtId="164" fontId="5" fillId="0" borderId="42" xfId="1" applyNumberFormat="1" applyFont="1" applyFill="1" applyBorder="1"/>
    <xf numFmtId="0" fontId="20" fillId="0" borderId="17" xfId="0" applyFont="1" applyFill="1" applyBorder="1" applyAlignment="1">
      <alignment horizontal="center"/>
    </xf>
    <xf numFmtId="49" fontId="5" fillId="0" borderId="49" xfId="0" applyNumberFormat="1" applyFont="1" applyBorder="1" applyAlignment="1">
      <alignment horizontal="left"/>
    </xf>
    <xf numFmtId="0" fontId="0" fillId="0" borderId="49" xfId="0" applyBorder="1" applyAlignment="1">
      <alignment horizontal="left"/>
    </xf>
    <xf numFmtId="165" fontId="0" fillId="0" borderId="50" xfId="2" applyNumberFormat="1" applyFont="1" applyBorder="1"/>
    <xf numFmtId="0" fontId="0" fillId="0" borderId="49" xfId="0" applyBorder="1" applyAlignment="1">
      <alignment horizontal="left" wrapText="1"/>
    </xf>
    <xf numFmtId="49" fontId="5" fillId="0" borderId="49" xfId="0" applyNumberFormat="1" applyFont="1" applyBorder="1" applyAlignment="1">
      <alignment horizontal="left" wrapText="1"/>
    </xf>
    <xf numFmtId="6" fontId="5" fillId="0" borderId="49" xfId="0" applyNumberFormat="1" applyFont="1" applyBorder="1" applyAlignment="1">
      <alignment horizontal="left" wrapText="1"/>
    </xf>
    <xf numFmtId="6" fontId="0" fillId="0" borderId="49" xfId="0" applyNumberFormat="1" applyBorder="1" applyAlignment="1">
      <alignment horizontal="left" wrapText="1"/>
    </xf>
    <xf numFmtId="0" fontId="8" fillId="3" borderId="39" xfId="0" applyFont="1" applyFill="1" applyBorder="1"/>
    <xf numFmtId="0" fontId="8" fillId="3" borderId="39" xfId="0" applyFont="1" applyFill="1" applyBorder="1" applyAlignment="1">
      <alignment horizontal="left"/>
    </xf>
    <xf numFmtId="165" fontId="0" fillId="3" borderId="41" xfId="2" applyNumberFormat="1" applyFont="1" applyFill="1" applyBorder="1"/>
    <xf numFmtId="49" fontId="18" fillId="0" borderId="0" xfId="0" applyNumberFormat="1" applyFont="1" applyAlignment="1">
      <alignment horizontal="left"/>
    </xf>
    <xf numFmtId="0" fontId="8" fillId="3" borderId="18" xfId="0" applyFont="1" applyFill="1" applyBorder="1" applyAlignment="1">
      <alignment horizontal="left"/>
    </xf>
    <xf numFmtId="0" fontId="0" fillId="3" borderId="18" xfId="0" applyFill="1" applyBorder="1"/>
    <xf numFmtId="0" fontId="0" fillId="3" borderId="39" xfId="0" applyFill="1" applyBorder="1" applyAlignment="1">
      <alignment horizontal="left" wrapText="1"/>
    </xf>
    <xf numFmtId="0" fontId="8" fillId="3" borderId="18" xfId="0" applyFont="1" applyFill="1" applyBorder="1"/>
    <xf numFmtId="0" fontId="0" fillId="3" borderId="39" xfId="0" applyFill="1" applyBorder="1" applyAlignment="1">
      <alignment horizontal="left"/>
    </xf>
    <xf numFmtId="0" fontId="0" fillId="3" borderId="41" xfId="0" applyFill="1" applyBorder="1" applyAlignment="1">
      <alignment horizontal="left"/>
    </xf>
    <xf numFmtId="0" fontId="0" fillId="0" borderId="49" xfId="0" applyBorder="1"/>
    <xf numFmtId="0" fontId="12" fillId="0" borderId="0" xfId="0" applyFont="1" applyBorder="1"/>
    <xf numFmtId="0" fontId="0" fillId="0" borderId="50" xfId="0" applyBorder="1" applyAlignment="1">
      <alignment horizontal="left"/>
    </xf>
    <xf numFmtId="0" fontId="5" fillId="0" borderId="5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51" xfId="0" applyBorder="1"/>
    <xf numFmtId="0" fontId="5" fillId="3" borderId="41" xfId="0" applyFont="1" applyFill="1" applyBorder="1" applyAlignment="1">
      <alignment horizontal="left"/>
    </xf>
    <xf numFmtId="49" fontId="5" fillId="3" borderId="39" xfId="0" applyNumberFormat="1" applyFont="1" applyFill="1" applyBorder="1" applyAlignment="1">
      <alignment horizontal="left" wrapText="1"/>
    </xf>
    <xf numFmtId="164" fontId="0" fillId="0" borderId="47" xfId="0" applyNumberFormat="1" applyBorder="1"/>
    <xf numFmtId="164" fontId="0" fillId="0" borderId="48" xfId="0" applyNumberFormat="1" applyBorder="1"/>
    <xf numFmtId="164" fontId="0" fillId="0" borderId="51" xfId="1" applyNumberFormat="1" applyFont="1" applyBorder="1"/>
    <xf numFmtId="164" fontId="0" fillId="0" borderId="36" xfId="1" applyNumberFormat="1" applyFont="1" applyBorder="1"/>
    <xf numFmtId="0" fontId="8" fillId="0" borderId="19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165" fontId="0" fillId="0" borderId="36" xfId="2" applyNumberFormat="1" applyFont="1" applyFill="1" applyBorder="1"/>
    <xf numFmtId="0" fontId="8" fillId="0" borderId="51" xfId="0" applyFont="1" applyFill="1" applyBorder="1" applyAlignment="1">
      <alignment horizontal="left"/>
    </xf>
    <xf numFmtId="49" fontId="10" fillId="0" borderId="28" xfId="1" applyNumberFormat="1" applyFont="1" applyFill="1" applyBorder="1"/>
    <xf numFmtId="164" fontId="8" fillId="0" borderId="35" xfId="1" applyNumberFormat="1" applyFont="1" applyFill="1" applyBorder="1"/>
    <xf numFmtId="0" fontId="5" fillId="0" borderId="26" xfId="0" applyFont="1" applyBorder="1"/>
    <xf numFmtId="10" fontId="5" fillId="0" borderId="49" xfId="0" applyNumberFormat="1" applyFont="1" applyBorder="1" applyAlignment="1">
      <alignment horizontal="left"/>
    </xf>
    <xf numFmtId="9" fontId="5" fillId="0" borderId="49" xfId="0" applyNumberFormat="1" applyFont="1" applyBorder="1" applyAlignment="1">
      <alignment horizontal="left" wrapText="1"/>
    </xf>
    <xf numFmtId="0" fontId="8" fillId="0" borderId="53" xfId="0" applyFont="1" applyBorder="1" applyAlignment="1">
      <alignment horizontal="centerContinuous"/>
    </xf>
    <xf numFmtId="0" fontId="8" fillId="0" borderId="54" xfId="0" applyFont="1" applyBorder="1" applyAlignment="1">
      <alignment horizontal="centerContinuous"/>
    </xf>
    <xf numFmtId="0" fontId="24" fillId="0" borderId="43" xfId="3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4" fillId="0" borderId="4" xfId="3" applyFont="1" applyFill="1" applyBorder="1" applyAlignment="1">
      <alignment horizontal="center" wrapText="1"/>
    </xf>
    <xf numFmtId="6" fontId="23" fillId="0" borderId="21" xfId="3" applyNumberFormat="1" applyFill="1" applyBorder="1"/>
    <xf numFmtId="6" fontId="23" fillId="0" borderId="23" xfId="3" applyNumberFormat="1" applyFill="1" applyBorder="1"/>
    <xf numFmtId="166" fontId="4" fillId="0" borderId="29" xfId="4" applyNumberFormat="1" applyFont="1" applyFill="1" applyBorder="1"/>
    <xf numFmtId="6" fontId="23" fillId="0" borderId="2" xfId="3" applyNumberFormat="1" applyFill="1" applyBorder="1"/>
    <xf numFmtId="166" fontId="4" fillId="0" borderId="38" xfId="4" applyNumberFormat="1" applyFont="1" applyFill="1" applyBorder="1"/>
    <xf numFmtId="166" fontId="4" fillId="0" borderId="28" xfId="4" applyNumberFormat="1" applyFont="1" applyFill="1" applyBorder="1"/>
    <xf numFmtId="6" fontId="23" fillId="0" borderId="20" xfId="3" applyNumberFormat="1" applyFill="1" applyBorder="1"/>
    <xf numFmtId="166" fontId="4" fillId="0" borderId="30" xfId="4" applyNumberFormat="1" applyFont="1" applyFill="1" applyBorder="1"/>
    <xf numFmtId="49" fontId="0" fillId="0" borderId="0" xfId="0" applyNumberFormat="1" applyAlignment="1">
      <alignment horizontal="left" wrapText="1"/>
    </xf>
    <xf numFmtId="165" fontId="0" fillId="0" borderId="50" xfId="2" quotePrefix="1" applyNumberFormat="1" applyFont="1" applyBorder="1"/>
    <xf numFmtId="0" fontId="8" fillId="0" borderId="47" xfId="0" applyFont="1" applyBorder="1"/>
    <xf numFmtId="0" fontId="8" fillId="0" borderId="10" xfId="0" applyFont="1" applyBorder="1"/>
    <xf numFmtId="0" fontId="8" fillId="0" borderId="48" xfId="0" applyFont="1" applyBorder="1"/>
    <xf numFmtId="0" fontId="0" fillId="0" borderId="50" xfId="0" applyBorder="1"/>
    <xf numFmtId="0" fontId="5" fillId="0" borderId="51" xfId="0" applyFont="1" applyBorder="1"/>
    <xf numFmtId="0" fontId="0" fillId="0" borderId="36" xfId="0" applyBorder="1"/>
    <xf numFmtId="0" fontId="0" fillId="0" borderId="48" xfId="0" applyBorder="1"/>
    <xf numFmtId="0" fontId="5" fillId="0" borderId="49" xfId="0" applyFont="1" applyBorder="1"/>
    <xf numFmtId="0" fontId="10" fillId="0" borderId="56" xfId="0" applyFont="1" applyFill="1" applyBorder="1"/>
    <xf numFmtId="0" fontId="10" fillId="0" borderId="4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center"/>
    </xf>
    <xf numFmtId="49" fontId="10" fillId="0" borderId="32" xfId="1" applyNumberFormat="1" applyFont="1" applyFill="1" applyBorder="1" applyAlignment="1">
      <alignment horizontal="center"/>
    </xf>
    <xf numFmtId="49" fontId="10" fillId="0" borderId="56" xfId="1" applyNumberFormat="1" applyFont="1" applyFill="1" applyBorder="1" applyAlignment="1">
      <alignment horizontal="center"/>
    </xf>
    <xf numFmtId="49" fontId="10" fillId="0" borderId="50" xfId="1" applyNumberFormat="1" applyFont="1" applyFill="1" applyBorder="1"/>
    <xf numFmtId="166" fontId="23" fillId="0" borderId="29" xfId="4" applyNumberFormat="1" applyFont="1" applyFill="1" applyBorder="1"/>
    <xf numFmtId="166" fontId="23" fillId="0" borderId="30" xfId="4" applyNumberFormat="1" applyFont="1" applyFill="1" applyBorder="1"/>
    <xf numFmtId="0" fontId="0" fillId="4" borderId="0" xfId="0" applyFill="1"/>
    <xf numFmtId="0" fontId="24" fillId="4" borderId="4" xfId="3" applyFont="1" applyFill="1" applyBorder="1" applyAlignment="1">
      <alignment wrapText="1"/>
    </xf>
    <xf numFmtId="6" fontId="23" fillId="4" borderId="15" xfId="3" applyNumberFormat="1" applyFill="1" applyBorder="1"/>
    <xf numFmtId="6" fontId="23" fillId="4" borderId="16" xfId="3" applyNumberFormat="1" applyFill="1" applyBorder="1"/>
    <xf numFmtId="6" fontId="23" fillId="4" borderId="17" xfId="3" applyNumberFormat="1" applyFill="1" applyBorder="1"/>
    <xf numFmtId="0" fontId="8" fillId="2" borderId="53" xfId="0" applyFont="1" applyFill="1" applyBorder="1" applyAlignment="1">
      <alignment horizontal="centerContinuous"/>
    </xf>
    <xf numFmtId="0" fontId="8" fillId="2" borderId="55" xfId="0" applyFont="1" applyFill="1" applyBorder="1" applyAlignment="1">
      <alignment horizontal="centerContinuous"/>
    </xf>
    <xf numFmtId="0" fontId="8" fillId="2" borderId="54" xfId="0" applyFont="1" applyFill="1" applyBorder="1" applyAlignment="1">
      <alignment horizontal="centerContinuous"/>
    </xf>
    <xf numFmtId="164" fontId="0" fillId="0" borderId="0" xfId="1" applyNumberFormat="1" applyFont="1" applyFill="1"/>
    <xf numFmtId="49" fontId="0" fillId="0" borderId="0" xfId="0" applyNumberFormat="1" applyAlignment="1">
      <alignment vertical="center" wrapText="1"/>
    </xf>
    <xf numFmtId="0" fontId="8" fillId="0" borderId="49" xfId="0" applyFont="1" applyBorder="1"/>
    <xf numFmtId="0" fontId="28" fillId="0" borderId="0" xfId="0" applyFont="1" applyFill="1"/>
    <xf numFmtId="166" fontId="5" fillId="0" borderId="49" xfId="0" applyNumberFormat="1" applyFont="1" applyBorder="1" applyAlignment="1">
      <alignment horizontal="center"/>
    </xf>
    <xf numFmtId="49" fontId="5" fillId="0" borderId="51" xfId="0" applyNumberFormat="1" applyFont="1" applyFill="1" applyBorder="1" applyAlignment="1">
      <alignment horizontal="center" wrapText="1"/>
    </xf>
    <xf numFmtId="0" fontId="5" fillId="0" borderId="0" xfId="0" applyFont="1" applyBorder="1" applyAlignment="1"/>
    <xf numFmtId="164" fontId="5" fillId="0" borderId="0" xfId="0" applyNumberFormat="1" applyFont="1" applyBorder="1"/>
    <xf numFmtId="164" fontId="10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164" fontId="0" fillId="0" borderId="0" xfId="1" applyNumberFormat="1" applyFont="1"/>
    <xf numFmtId="165" fontId="11" fillId="0" borderId="0" xfId="2" applyNumberFormat="1" applyFont="1" applyFill="1" applyBorder="1"/>
    <xf numFmtId="0" fontId="5" fillId="0" borderId="44" xfId="0" applyFont="1" applyFill="1" applyBorder="1" applyAlignment="1">
      <alignment horizontal="left"/>
    </xf>
    <xf numFmtId="164" fontId="8" fillId="0" borderId="21" xfId="1" applyNumberFormat="1" applyFont="1" applyFill="1" applyBorder="1"/>
    <xf numFmtId="0" fontId="5" fillId="0" borderId="44" xfId="0" applyFont="1" applyBorder="1"/>
    <xf numFmtId="0" fontId="10" fillId="0" borderId="50" xfId="0" applyFont="1" applyFill="1" applyBorder="1"/>
    <xf numFmtId="15" fontId="8" fillId="0" borderId="0" xfId="0" applyNumberFormat="1" applyFont="1" applyFill="1"/>
    <xf numFmtId="164" fontId="5" fillId="0" borderId="16" xfId="1" applyNumberFormat="1" applyFont="1" applyFill="1" applyBorder="1"/>
    <xf numFmtId="164" fontId="5" fillId="0" borderId="17" xfId="1" applyNumberFormat="1" applyFont="1" applyFill="1" applyBorder="1"/>
    <xf numFmtId="49" fontId="10" fillId="0" borderId="50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8" fillId="0" borderId="15" xfId="1" applyNumberFormat="1" applyFont="1" applyFill="1" applyBorder="1"/>
    <xf numFmtId="164" fontId="8" fillId="0" borderId="16" xfId="1" applyNumberFormat="1" applyFont="1" applyFill="1" applyBorder="1"/>
    <xf numFmtId="164" fontId="8" fillId="0" borderId="17" xfId="1" applyNumberFormat="1" applyFont="1" applyFill="1" applyBorder="1"/>
    <xf numFmtId="164" fontId="5" fillId="0" borderId="17" xfId="1" applyNumberFormat="1" applyFont="1" applyFill="1" applyBorder="1" applyAlignment="1">
      <alignment horizontal="center"/>
    </xf>
    <xf numFmtId="164" fontId="25" fillId="0" borderId="17" xfId="1" applyNumberFormat="1" applyFont="1" applyFill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21" xfId="1" applyNumberFormat="1" applyFont="1" applyBorder="1"/>
    <xf numFmtId="164" fontId="0" fillId="0" borderId="23" xfId="1" applyNumberFormat="1" applyFont="1" applyBorder="1"/>
    <xf numFmtId="0" fontId="5" fillId="0" borderId="29" xfId="0" applyFont="1" applyBorder="1"/>
    <xf numFmtId="164" fontId="5" fillId="0" borderId="20" xfId="0" applyNumberFormat="1" applyFont="1" applyBorder="1"/>
    <xf numFmtId="0" fontId="0" fillId="0" borderId="30" xfId="0" applyBorder="1"/>
    <xf numFmtId="164" fontId="10" fillId="0" borderId="28" xfId="1" applyNumberFormat="1" applyFont="1" applyBorder="1"/>
    <xf numFmtId="164" fontId="10" fillId="0" borderId="29" xfId="1" applyNumberFormat="1" applyFont="1" applyBorder="1"/>
    <xf numFmtId="164" fontId="10" fillId="0" borderId="30" xfId="0" applyNumberFormat="1" applyFont="1" applyBorder="1"/>
    <xf numFmtId="164" fontId="25" fillId="0" borderId="23" xfId="1" applyNumberFormat="1" applyFont="1" applyFill="1" applyBorder="1" applyAlignment="1">
      <alignment horizontal="center"/>
    </xf>
    <xf numFmtId="164" fontId="5" fillId="0" borderId="30" xfId="1" applyNumberFormat="1" applyFont="1" applyFill="1" applyBorder="1"/>
    <xf numFmtId="0" fontId="8" fillId="0" borderId="43" xfId="0" applyFont="1" applyFill="1" applyBorder="1" applyAlignment="1">
      <alignment horizontal="right"/>
    </xf>
    <xf numFmtId="0" fontId="5" fillId="0" borderId="17" xfId="0" applyFont="1" applyFill="1" applyBorder="1" applyAlignment="1">
      <alignment wrapText="1"/>
    </xf>
    <xf numFmtId="164" fontId="8" fillId="0" borderId="23" xfId="1" applyNumberFormat="1" applyFont="1" applyFill="1" applyBorder="1"/>
    <xf numFmtId="164" fontId="5" fillId="0" borderId="23" xfId="1" applyNumberFormat="1" applyFont="1" applyFill="1" applyBorder="1" applyAlignment="1">
      <alignment wrapText="1"/>
    </xf>
    <xf numFmtId="166" fontId="5" fillId="0" borderId="49" xfId="4" applyNumberFormat="1" applyFont="1" applyBorder="1" applyAlignment="1">
      <alignment horizontal="center" wrapText="1"/>
    </xf>
    <xf numFmtId="9" fontId="5" fillId="0" borderId="49" xfId="0" applyNumberFormat="1" applyFont="1" applyBorder="1" applyAlignment="1">
      <alignment horizont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4" fontId="8" fillId="3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8" fillId="0" borderId="4" xfId="0" applyFont="1" applyBorder="1"/>
    <xf numFmtId="0" fontId="0" fillId="0" borderId="4" xfId="0" applyBorder="1"/>
    <xf numFmtId="165" fontId="0" fillId="0" borderId="39" xfId="0" applyNumberFormat="1" applyFill="1" applyBorder="1"/>
    <xf numFmtId="0" fontId="0" fillId="0" borderId="41" xfId="0" applyBorder="1"/>
    <xf numFmtId="0" fontId="10" fillId="0" borderId="52" xfId="0" applyFont="1" applyFill="1" applyBorder="1"/>
    <xf numFmtId="0" fontId="8" fillId="0" borderId="49" xfId="0" applyFont="1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0" fontId="0" fillId="0" borderId="49" xfId="0" applyFill="1" applyBorder="1" applyAlignment="1">
      <alignment horizontal="left" wrapText="1"/>
    </xf>
    <xf numFmtId="165" fontId="0" fillId="0" borderId="50" xfId="2" applyNumberFormat="1" applyFont="1" applyFill="1" applyBorder="1"/>
    <xf numFmtId="0" fontId="24" fillId="2" borderId="4" xfId="3" applyFont="1" applyFill="1" applyBorder="1" applyAlignment="1">
      <alignment horizontal="center" wrapText="1"/>
    </xf>
    <xf numFmtId="166" fontId="3" fillId="0" borderId="29" xfId="4" applyNumberFormat="1" applyFont="1" applyFill="1" applyBorder="1"/>
    <xf numFmtId="166" fontId="3" fillId="0" borderId="30" xfId="4" applyNumberFormat="1" applyFont="1" applyFill="1" applyBorder="1"/>
    <xf numFmtId="6" fontId="23" fillId="0" borderId="40" xfId="3" applyNumberFormat="1" applyBorder="1"/>
    <xf numFmtId="6" fontId="23" fillId="0" borderId="22" xfId="3" applyNumberFormat="1" applyBorder="1"/>
    <xf numFmtId="5" fontId="5" fillId="0" borderId="21" xfId="5" applyNumberFormat="1" applyFont="1" applyBorder="1" applyAlignment="1">
      <alignment horizontal="center" vertical="center"/>
    </xf>
    <xf numFmtId="5" fontId="5" fillId="0" borderId="23" xfId="5" applyNumberFormat="1" applyFont="1" applyBorder="1" applyAlignment="1">
      <alignment horizontal="center" vertical="center"/>
    </xf>
    <xf numFmtId="5" fontId="5" fillId="0" borderId="20" xfId="5" applyNumberFormat="1" applyFont="1" applyBorder="1" applyAlignment="1">
      <alignment horizontal="center" vertical="center"/>
    </xf>
    <xf numFmtId="6" fontId="23" fillId="0" borderId="24" xfId="3" applyNumberFormat="1" applyBorder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8" fontId="0" fillId="0" borderId="0" xfId="0" applyNumberFormat="1"/>
    <xf numFmtId="0" fontId="30" fillId="0" borderId="0" xfId="0" applyFont="1"/>
    <xf numFmtId="0" fontId="31" fillId="0" borderId="0" xfId="0" applyFont="1"/>
    <xf numFmtId="6" fontId="23" fillId="0" borderId="31" xfId="3" applyNumberFormat="1" applyFill="1" applyBorder="1"/>
    <xf numFmtId="6" fontId="23" fillId="0" borderId="57" xfId="3" applyNumberFormat="1" applyFill="1" applyBorder="1"/>
    <xf numFmtId="6" fontId="23" fillId="0" borderId="58" xfId="3" applyNumberFormat="1" applyFill="1" applyBorder="1"/>
    <xf numFmtId="0" fontId="10" fillId="0" borderId="0" xfId="0" quotePrefix="1" applyFont="1" applyFill="1" applyBorder="1"/>
    <xf numFmtId="0" fontId="5" fillId="0" borderId="44" xfId="0" applyFont="1" applyFill="1" applyBorder="1" applyAlignment="1">
      <alignment horizontal="left" wrapText="1"/>
    </xf>
    <xf numFmtId="164" fontId="5" fillId="0" borderId="59" xfId="1" applyNumberFormat="1" applyFont="1" applyFill="1" applyBorder="1" applyAlignment="1">
      <alignment horizontal="center"/>
    </xf>
    <xf numFmtId="164" fontId="5" fillId="0" borderId="0" xfId="0" applyNumberFormat="1" applyFont="1"/>
    <xf numFmtId="164" fontId="8" fillId="0" borderId="59" xfId="1" applyNumberFormat="1" applyFont="1" applyFill="1" applyBorder="1"/>
    <xf numFmtId="164" fontId="8" fillId="0" borderId="42" xfId="1" applyNumberFormat="1" applyFont="1" applyFill="1" applyBorder="1"/>
    <xf numFmtId="164" fontId="5" fillId="0" borderId="26" xfId="1" applyNumberFormat="1" applyFont="1" applyFill="1" applyBorder="1"/>
    <xf numFmtId="165" fontId="8" fillId="0" borderId="0" xfId="0" applyNumberFormat="1" applyFont="1"/>
    <xf numFmtId="164" fontId="5" fillId="0" borderId="23" xfId="1" applyNumberFormat="1" applyFont="1" applyFill="1" applyBorder="1" applyAlignment="1">
      <alignment horizontal="center" wrapText="1"/>
    </xf>
    <xf numFmtId="164" fontId="0" fillId="0" borderId="47" xfId="0" applyNumberFormat="1" applyFill="1" applyBorder="1"/>
    <xf numFmtId="6" fontId="23" fillId="0" borderId="29" xfId="3" applyNumberFormat="1" applyFill="1" applyBorder="1"/>
    <xf numFmtId="0" fontId="0" fillId="0" borderId="0" xfId="0"/>
    <xf numFmtId="0" fontId="0" fillId="0" borderId="0" xfId="0" applyFill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6" fontId="23" fillId="0" borderId="30" xfId="3" applyNumberFormat="1" applyFill="1" applyBorder="1"/>
    <xf numFmtId="165" fontId="23" fillId="0" borderId="28" xfId="2" applyNumberFormat="1" applyFont="1" applyFill="1" applyBorder="1"/>
    <xf numFmtId="165" fontId="3" fillId="0" borderId="29" xfId="2" applyNumberFormat="1" applyFont="1" applyFill="1" applyBorder="1"/>
    <xf numFmtId="165" fontId="3" fillId="0" borderId="30" xfId="2" applyNumberFormat="1" applyFont="1" applyFill="1" applyBorder="1"/>
    <xf numFmtId="0" fontId="5" fillId="0" borderId="0" xfId="8"/>
    <xf numFmtId="0" fontId="8" fillId="0" borderId="0" xfId="8" applyFont="1" applyAlignment="1">
      <alignment horizontal="left"/>
    </xf>
    <xf numFmtId="49" fontId="5" fillId="0" borderId="0" xfId="8" applyNumberFormat="1" applyAlignment="1">
      <alignment horizontal="right"/>
    </xf>
    <xf numFmtId="49" fontId="5" fillId="0" borderId="0" xfId="8" applyNumberFormat="1" applyAlignment="1">
      <alignment horizontal="left"/>
    </xf>
    <xf numFmtId="0" fontId="26" fillId="0" borderId="0" xfId="8" applyFont="1" applyAlignment="1">
      <alignment horizontal="left" vertical="top" wrapText="1"/>
    </xf>
    <xf numFmtId="0" fontId="15" fillId="0" borderId="0" xfId="8" applyFont="1"/>
    <xf numFmtId="49" fontId="18" fillId="0" borderId="0" xfId="8" applyNumberFormat="1" applyFont="1" applyAlignment="1">
      <alignment horizontal="left"/>
    </xf>
    <xf numFmtId="0" fontId="8" fillId="0" borderId="0" xfId="8" applyFont="1" applyAlignment="1">
      <alignment horizontal="left" vertical="top"/>
    </xf>
    <xf numFmtId="0" fontId="8" fillId="2" borderId="4" xfId="8" applyFont="1" applyFill="1" applyBorder="1" applyAlignment="1">
      <alignment horizontal="left" vertical="center"/>
    </xf>
    <xf numFmtId="49" fontId="8" fillId="2" borderId="4" xfId="8" applyNumberFormat="1" applyFont="1" applyFill="1" applyBorder="1" applyAlignment="1">
      <alignment vertical="center" wrapText="1"/>
    </xf>
    <xf numFmtId="0" fontId="5" fillId="0" borderId="4" xfId="8" quotePrefix="1" applyFont="1" applyBorder="1"/>
    <xf numFmtId="165" fontId="5" fillId="0" borderId="4" xfId="2" applyNumberFormat="1" applyFont="1" applyBorder="1"/>
    <xf numFmtId="0" fontId="28" fillId="0" borderId="0" xfId="8" applyFont="1" applyFill="1"/>
    <xf numFmtId="49" fontId="5" fillId="0" borderId="0" xfId="8" applyNumberFormat="1" applyAlignment="1">
      <alignment vertical="top" wrapText="1"/>
    </xf>
    <xf numFmtId="49" fontId="8" fillId="2" borderId="4" xfId="8" applyNumberFormat="1" applyFont="1" applyFill="1" applyBorder="1" applyAlignment="1">
      <alignment horizontal="center" vertical="center" wrapText="1"/>
    </xf>
    <xf numFmtId="0" fontId="8" fillId="0" borderId="0" xfId="8" applyFont="1"/>
    <xf numFmtId="0" fontId="8" fillId="2" borderId="4" xfId="8" applyFont="1" applyFill="1" applyBorder="1" applyAlignment="1">
      <alignment horizontal="left" vertical="center"/>
    </xf>
    <xf numFmtId="0" fontId="5" fillId="0" borderId="4" xfId="8" quotePrefix="1" applyFont="1" applyBorder="1"/>
    <xf numFmtId="49" fontId="5" fillId="0" borderId="4" xfId="2" applyNumberFormat="1" applyFont="1" applyBorder="1" applyAlignment="1">
      <alignment horizontal="center"/>
    </xf>
    <xf numFmtId="49" fontId="8" fillId="2" borderId="4" xfId="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" xfId="8" quotePrefix="1" applyFont="1" applyBorder="1"/>
    <xf numFmtId="0" fontId="5" fillId="0" borderId="0" xfId="8"/>
    <xf numFmtId="0" fontId="5" fillId="0" borderId="19" xfId="8" applyBorder="1"/>
    <xf numFmtId="0" fontId="5" fillId="0" borderId="0" xfId="8" applyBorder="1"/>
    <xf numFmtId="6" fontId="5" fillId="0" borderId="0" xfId="8" applyNumberFormat="1"/>
    <xf numFmtId="166" fontId="5" fillId="0" borderId="0" xfId="4" applyNumberFormat="1" applyFont="1"/>
    <xf numFmtId="165" fontId="5" fillId="0" borderId="0" xfId="2" applyNumberFormat="1" applyFont="1"/>
    <xf numFmtId="0" fontId="8" fillId="0" borderId="0" xfId="8" applyFont="1" applyAlignment="1">
      <alignment horizontal="left"/>
    </xf>
    <xf numFmtId="49" fontId="5" fillId="0" borderId="0" xfId="8" applyNumberFormat="1" applyAlignment="1">
      <alignment horizontal="right"/>
    </xf>
    <xf numFmtId="0" fontId="5" fillId="0" borderId="0" xfId="8" applyFill="1" applyBorder="1"/>
    <xf numFmtId="0" fontId="8" fillId="0" borderId="0" xfId="8" applyFont="1"/>
    <xf numFmtId="9" fontId="5" fillId="0" borderId="0" xfId="8" applyNumberFormat="1"/>
    <xf numFmtId="49" fontId="5" fillId="0" borderId="0" xfId="8" applyNumberFormat="1" applyFont="1" applyAlignment="1">
      <alignment horizontal="left"/>
    </xf>
    <xf numFmtId="0" fontId="5" fillId="0" borderId="49" xfId="8" applyBorder="1" applyAlignment="1">
      <alignment horizontal="left"/>
    </xf>
    <xf numFmtId="165" fontId="5" fillId="0" borderId="50" xfId="2" applyNumberFormat="1" applyFont="1" applyBorder="1"/>
    <xf numFmtId="0" fontId="5" fillId="0" borderId="49" xfId="8" applyBorder="1" applyAlignment="1">
      <alignment horizontal="left" wrapText="1"/>
    </xf>
    <xf numFmtId="49" fontId="5" fillId="0" borderId="49" xfId="8" applyNumberFormat="1" applyFont="1" applyBorder="1" applyAlignment="1">
      <alignment horizontal="left" wrapText="1"/>
    </xf>
    <xf numFmtId="6" fontId="5" fillId="0" borderId="49" xfId="8" applyNumberFormat="1" applyFont="1" applyBorder="1" applyAlignment="1">
      <alignment horizontal="left" wrapText="1"/>
    </xf>
    <xf numFmtId="6" fontId="5" fillId="0" borderId="49" xfId="8" applyNumberFormat="1" applyBorder="1" applyAlignment="1">
      <alignment horizontal="left" wrapText="1"/>
    </xf>
    <xf numFmtId="0" fontId="8" fillId="3" borderId="39" xfId="8" applyFont="1" applyFill="1" applyBorder="1"/>
    <xf numFmtId="0" fontId="8" fillId="3" borderId="39" xfId="8" applyFont="1" applyFill="1" applyBorder="1" applyAlignment="1">
      <alignment horizontal="left"/>
    </xf>
    <xf numFmtId="165" fontId="5" fillId="3" borderId="41" xfId="2" applyNumberFormat="1" applyFont="1" applyFill="1" applyBorder="1"/>
    <xf numFmtId="0" fontId="8" fillId="3" borderId="18" xfId="8" applyFont="1" applyFill="1" applyBorder="1" applyAlignment="1">
      <alignment horizontal="left"/>
    </xf>
    <xf numFmtId="0" fontId="5" fillId="3" borderId="18" xfId="8" applyFill="1" applyBorder="1"/>
    <xf numFmtId="0" fontId="5" fillId="3" borderId="39" xfId="8" applyFill="1" applyBorder="1" applyAlignment="1">
      <alignment horizontal="left" wrapText="1"/>
    </xf>
    <xf numFmtId="0" fontId="8" fillId="3" borderId="18" xfId="8" applyFont="1" applyFill="1" applyBorder="1"/>
    <xf numFmtId="0" fontId="5" fillId="3" borderId="39" xfId="8" applyFill="1" applyBorder="1" applyAlignment="1">
      <alignment horizontal="left"/>
    </xf>
    <xf numFmtId="0" fontId="5" fillId="3" borderId="41" xfId="8" applyFill="1" applyBorder="1" applyAlignment="1">
      <alignment horizontal="left"/>
    </xf>
    <xf numFmtId="0" fontId="5" fillId="0" borderId="49" xfId="8" applyBorder="1"/>
    <xf numFmtId="0" fontId="12" fillId="0" borderId="0" xfId="8" applyFont="1" applyBorder="1"/>
    <xf numFmtId="0" fontId="5" fillId="0" borderId="50" xfId="8" applyBorder="1" applyAlignment="1">
      <alignment horizontal="left"/>
    </xf>
    <xf numFmtId="0" fontId="5" fillId="0" borderId="50" xfId="8" applyFont="1" applyBorder="1" applyAlignment="1">
      <alignment horizontal="left"/>
    </xf>
    <xf numFmtId="0" fontId="12" fillId="0" borderId="0" xfId="8" applyFont="1" applyBorder="1" applyAlignment="1">
      <alignment horizontal="left"/>
    </xf>
    <xf numFmtId="0" fontId="5" fillId="0" borderId="51" xfId="8" applyBorder="1"/>
    <xf numFmtId="0" fontId="5" fillId="0" borderId="36" xfId="8" applyFont="1" applyBorder="1" applyAlignment="1">
      <alignment horizontal="left"/>
    </xf>
    <xf numFmtId="0" fontId="5" fillId="3" borderId="41" xfId="8" applyFont="1" applyFill="1" applyBorder="1" applyAlignment="1">
      <alignment horizontal="left"/>
    </xf>
    <xf numFmtId="49" fontId="5" fillId="3" borderId="39" xfId="8" applyNumberFormat="1" applyFont="1" applyFill="1" applyBorder="1" applyAlignment="1">
      <alignment horizontal="left" wrapText="1"/>
    </xf>
    <xf numFmtId="0" fontId="8" fillId="0" borderId="19" xfId="8" applyFont="1" applyFill="1" applyBorder="1" applyAlignment="1">
      <alignment horizontal="left"/>
    </xf>
    <xf numFmtId="0" fontId="8" fillId="0" borderId="51" xfId="8" applyFont="1" applyFill="1" applyBorder="1" applyAlignment="1">
      <alignment horizontal="left"/>
    </xf>
    <xf numFmtId="9" fontId="5" fillId="0" borderId="49" xfId="8" applyNumberFormat="1" applyFont="1" applyBorder="1" applyAlignment="1">
      <alignment horizontal="left" wrapText="1"/>
    </xf>
    <xf numFmtId="165" fontId="5" fillId="0" borderId="50" xfId="2" quotePrefix="1" applyNumberFormat="1" applyFont="1" applyBorder="1"/>
    <xf numFmtId="0" fontId="5" fillId="0" borderId="50" xfId="8" applyBorder="1"/>
    <xf numFmtId="0" fontId="5" fillId="0" borderId="36" xfId="8" applyBorder="1"/>
    <xf numFmtId="0" fontId="5" fillId="0" borderId="50" xfId="8" applyFont="1" applyBorder="1" applyAlignment="1">
      <alignment horizontal="left" vertical="center"/>
    </xf>
    <xf numFmtId="165" fontId="5" fillId="0" borderId="4" xfId="2" applyNumberFormat="1" applyFont="1" applyBorder="1"/>
    <xf numFmtId="0" fontId="8" fillId="0" borderId="49" xfId="8" applyFont="1" applyBorder="1"/>
    <xf numFmtId="49" fontId="5" fillId="0" borderId="49" xfId="8" applyNumberFormat="1" applyFont="1" applyBorder="1" applyAlignment="1">
      <alignment horizontal="center" wrapText="1"/>
    </xf>
    <xf numFmtId="166" fontId="5" fillId="0" borderId="49" xfId="8" applyNumberFormat="1" applyFont="1" applyBorder="1" applyAlignment="1">
      <alignment horizontal="center"/>
    </xf>
    <xf numFmtId="0" fontId="5" fillId="0" borderId="36" xfId="8" applyFont="1" applyFill="1" applyBorder="1" applyAlignment="1">
      <alignment horizontal="left" vertical="center"/>
    </xf>
    <xf numFmtId="0" fontId="5" fillId="0" borderId="44" xfId="8" applyFill="1" applyBorder="1"/>
    <xf numFmtId="9" fontId="5" fillId="0" borderId="50" xfId="8" applyNumberFormat="1" applyFont="1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5" fillId="0" borderId="50" xfId="8" applyBorder="1" applyAlignment="1">
      <alignment horizontal="left" wrapText="1"/>
    </xf>
    <xf numFmtId="0" fontId="5" fillId="0" borderId="4" xfId="8" applyFont="1" applyBorder="1"/>
    <xf numFmtId="165" fontId="0" fillId="0" borderId="4" xfId="2" applyNumberFormat="1" applyFont="1" applyBorder="1"/>
    <xf numFmtId="0" fontId="5" fillId="0" borderId="50" xfId="8" applyFill="1" applyBorder="1"/>
    <xf numFmtId="0" fontId="12" fillId="0" borderId="0" xfId="0" applyFont="1" applyBorder="1" applyAlignment="1">
      <alignment vertical="center"/>
    </xf>
    <xf numFmtId="0" fontId="5" fillId="0" borderId="49" xfId="8" applyFont="1" applyBorder="1" applyAlignment="1">
      <alignment horizontal="left"/>
    </xf>
    <xf numFmtId="5" fontId="5" fillId="0" borderId="15" xfId="5" applyNumberFormat="1" applyFont="1" applyBorder="1" applyAlignment="1">
      <alignment horizontal="center" vertical="center"/>
    </xf>
    <xf numFmtId="5" fontId="5" fillId="0" borderId="16" xfId="5" applyNumberFormat="1" applyFont="1" applyBorder="1" applyAlignment="1">
      <alignment horizontal="center" vertical="center"/>
    </xf>
    <xf numFmtId="5" fontId="5" fillId="0" borderId="17" xfId="5" applyNumberFormat="1" applyFont="1" applyBorder="1" applyAlignment="1">
      <alignment horizontal="center" vertical="center"/>
    </xf>
    <xf numFmtId="0" fontId="23" fillId="0" borderId="15" xfId="3" applyBorder="1" applyAlignment="1">
      <alignment horizontal="center" vertical="center"/>
    </xf>
    <xf numFmtId="0" fontId="23" fillId="0" borderId="16" xfId="3" applyBorder="1" applyAlignment="1">
      <alignment horizontal="center" vertical="center"/>
    </xf>
    <xf numFmtId="0" fontId="23" fillId="0" borderId="17" xfId="3" applyBorder="1" applyAlignment="1">
      <alignment horizontal="center" vertical="center"/>
    </xf>
    <xf numFmtId="6" fontId="5" fillId="0" borderId="49" xfId="8" applyNumberFormat="1" applyBorder="1" applyAlignment="1">
      <alignment horizontal="left" wrapText="1"/>
    </xf>
    <xf numFmtId="0" fontId="18" fillId="0" borderId="0" xfId="0" applyFont="1"/>
    <xf numFmtId="165" fontId="18" fillId="0" borderId="0" xfId="2" applyNumberFormat="1" applyFont="1"/>
    <xf numFmtId="0" fontId="15" fillId="0" borderId="0" xfId="0" applyFont="1"/>
    <xf numFmtId="165" fontId="15" fillId="0" borderId="0" xfId="2" applyNumberFormat="1" applyFont="1"/>
    <xf numFmtId="0" fontId="5" fillId="0" borderId="0" xfId="0" applyFont="1" applyAlignment="1">
      <alignment horizontal="left" wrapText="1"/>
    </xf>
    <xf numFmtId="164" fontId="5" fillId="0" borderId="44" xfId="1" applyNumberFormat="1" applyFont="1" applyFill="1" applyBorder="1"/>
    <xf numFmtId="164" fontId="25" fillId="0" borderId="44" xfId="1" applyNumberFormat="1" applyFont="1" applyFill="1" applyBorder="1"/>
    <xf numFmtId="164" fontId="25" fillId="0" borderId="60" xfId="1" applyNumberFormat="1" applyFont="1" applyFill="1" applyBorder="1"/>
    <xf numFmtId="0" fontId="10" fillId="0" borderId="61" xfId="0" applyFont="1" applyFill="1" applyBorder="1"/>
    <xf numFmtId="164" fontId="5" fillId="0" borderId="60" xfId="1" applyNumberFormat="1" applyFont="1" applyFill="1" applyBorder="1"/>
    <xf numFmtId="6" fontId="23" fillId="0" borderId="15" xfId="3" applyNumberFormat="1" applyFill="1" applyBorder="1"/>
    <xf numFmtId="6" fontId="23" fillId="0" borderId="16" xfId="3" applyNumberFormat="1" applyFill="1" applyBorder="1"/>
    <xf numFmtId="6" fontId="23" fillId="0" borderId="17" xfId="3" applyNumberFormat="1" applyFill="1" applyBorder="1"/>
    <xf numFmtId="0" fontId="26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43" fontId="0" fillId="0" borderId="0" xfId="1" applyFont="1"/>
    <xf numFmtId="0" fontId="26" fillId="0" borderId="0" xfId="0" applyFont="1" applyAlignment="1">
      <alignment horizontal="left" vertical="center"/>
    </xf>
    <xf numFmtId="0" fontId="33" fillId="2" borderId="4" xfId="3" applyFont="1" applyFill="1" applyBorder="1" applyAlignment="1">
      <alignment wrapText="1"/>
    </xf>
    <xf numFmtId="165" fontId="5" fillId="0" borderId="4" xfId="2" applyNumberFormat="1" applyFont="1" applyFill="1" applyBorder="1"/>
    <xf numFmtId="0" fontId="5" fillId="0" borderId="4" xfId="8" applyFont="1" applyFill="1" applyBorder="1"/>
    <xf numFmtId="0" fontId="17" fillId="0" borderId="0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166" fontId="5" fillId="0" borderId="49" xfId="8" applyNumberFormat="1" applyFont="1" applyBorder="1" applyAlignment="1">
      <alignment horizontal="center"/>
    </xf>
    <xf numFmtId="166" fontId="5" fillId="0" borderId="50" xfId="8" applyNumberFormat="1" applyFont="1" applyBorder="1" applyAlignment="1">
      <alignment horizontal="center"/>
    </xf>
    <xf numFmtId="0" fontId="8" fillId="3" borderId="47" xfId="8" applyFont="1" applyFill="1" applyBorder="1" applyAlignment="1">
      <alignment horizontal="center"/>
    </xf>
    <xf numFmtId="0" fontId="8" fillId="3" borderId="48" xfId="8" applyFont="1" applyFill="1" applyBorder="1" applyAlignment="1">
      <alignment horizontal="center"/>
    </xf>
    <xf numFmtId="0" fontId="5" fillId="0" borderId="49" xfId="8" applyBorder="1" applyAlignment="1">
      <alignment horizontal="left" wrapText="1"/>
    </xf>
    <xf numFmtId="0" fontId="5" fillId="0" borderId="50" xfId="8" applyBorder="1" applyAlignment="1">
      <alignment horizontal="left" wrapText="1"/>
    </xf>
    <xf numFmtId="49" fontId="5" fillId="0" borderId="49" xfId="8" applyNumberFormat="1" applyFont="1" applyFill="1" applyBorder="1" applyAlignment="1">
      <alignment horizontal="left" vertical="top" wrapText="1"/>
    </xf>
    <xf numFmtId="49" fontId="5" fillId="0" borderId="50" xfId="8" applyNumberFormat="1" applyFont="1" applyFill="1" applyBorder="1" applyAlignment="1">
      <alignment horizontal="left" vertical="top" wrapText="1"/>
    </xf>
    <xf numFmtId="6" fontId="5" fillId="0" borderId="51" xfId="8" applyNumberFormat="1" applyBorder="1" applyAlignment="1">
      <alignment horizontal="left" wrapText="1"/>
    </xf>
    <xf numFmtId="6" fontId="5" fillId="0" borderId="36" xfId="8" applyNumberFormat="1" applyBorder="1" applyAlignment="1">
      <alignment horizontal="left" wrapText="1"/>
    </xf>
    <xf numFmtId="6" fontId="5" fillId="0" borderId="49" xfId="8" applyNumberFormat="1" applyFont="1" applyBorder="1" applyAlignment="1">
      <alignment horizontal="center" wrapText="1"/>
    </xf>
    <xf numFmtId="6" fontId="5" fillId="0" borderId="50" xfId="8" applyNumberFormat="1" applyFont="1" applyBorder="1" applyAlignment="1">
      <alignment horizontal="center" wrapText="1"/>
    </xf>
    <xf numFmtId="6" fontId="5" fillId="0" borderId="49" xfId="8" applyNumberFormat="1" applyFont="1" applyBorder="1" applyAlignment="1">
      <alignment horizontal="left" wrapText="1"/>
    </xf>
    <xf numFmtId="6" fontId="5" fillId="0" borderId="50" xfId="8" applyNumberFormat="1" applyFont="1" applyBorder="1" applyAlignment="1">
      <alignment horizontal="left" wrapText="1"/>
    </xf>
    <xf numFmtId="49" fontId="5" fillId="0" borderId="51" xfId="8" applyNumberFormat="1" applyFont="1" applyBorder="1" applyAlignment="1">
      <alignment horizontal="center"/>
    </xf>
    <xf numFmtId="49" fontId="5" fillId="0" borderId="36" xfId="8" applyNumberFormat="1" applyFont="1" applyBorder="1" applyAlignment="1">
      <alignment horizontal="center"/>
    </xf>
    <xf numFmtId="49" fontId="5" fillId="0" borderId="39" xfId="8" applyNumberFormat="1" applyFont="1" applyBorder="1" applyAlignment="1">
      <alignment horizontal="left" wrapText="1"/>
    </xf>
    <xf numFmtId="49" fontId="5" fillId="0" borderId="41" xfId="8" applyNumberFormat="1" applyFont="1" applyBorder="1" applyAlignment="1">
      <alignment horizontal="left" wrapText="1"/>
    </xf>
    <xf numFmtId="49" fontId="5" fillId="0" borderId="39" xfId="8" applyNumberFormat="1" applyFont="1" applyFill="1" applyBorder="1" applyAlignment="1">
      <alignment horizontal="center" vertical="center" wrapText="1"/>
    </xf>
    <xf numFmtId="49" fontId="5" fillId="0" borderId="41" xfId="8" applyNumberFormat="1" applyFont="1" applyFill="1" applyBorder="1" applyAlignment="1">
      <alignment horizontal="center" vertical="center" wrapText="1"/>
    </xf>
    <xf numFmtId="49" fontId="5" fillId="0" borderId="47" xfId="8" applyNumberFormat="1" applyFont="1" applyFill="1" applyBorder="1" applyAlignment="1">
      <alignment horizontal="center" vertical="center" wrapText="1"/>
    </xf>
    <xf numFmtId="49" fontId="5" fillId="0" borderId="48" xfId="8" applyNumberFormat="1" applyFont="1" applyFill="1" applyBorder="1" applyAlignment="1">
      <alignment horizontal="center" vertical="center" wrapText="1"/>
    </xf>
    <xf numFmtId="10" fontId="5" fillId="0" borderId="49" xfId="8" applyNumberFormat="1" applyBorder="1" applyAlignment="1">
      <alignment horizontal="center" wrapText="1"/>
    </xf>
    <xf numFmtId="10" fontId="5" fillId="0" borderId="50" xfId="8" applyNumberFormat="1" applyBorder="1" applyAlignment="1">
      <alignment horizontal="center" wrapText="1"/>
    </xf>
    <xf numFmtId="10" fontId="5" fillId="0" borderId="49" xfId="8" applyNumberFormat="1" applyFont="1" applyBorder="1" applyAlignment="1">
      <alignment horizontal="center" wrapText="1"/>
    </xf>
    <xf numFmtId="10" fontId="5" fillId="0" borderId="50" xfId="8" applyNumberFormat="1" applyFont="1" applyBorder="1" applyAlignment="1">
      <alignment horizontal="center" wrapText="1"/>
    </xf>
    <xf numFmtId="9" fontId="5" fillId="0" borderId="47" xfId="8" applyNumberFormat="1" applyFont="1" applyBorder="1" applyAlignment="1">
      <alignment horizontal="center" wrapText="1"/>
    </xf>
    <xf numFmtId="9" fontId="5" fillId="0" borderId="48" xfId="8" applyNumberFormat="1" applyFont="1" applyBorder="1" applyAlignment="1">
      <alignment horizontal="center" wrapText="1"/>
    </xf>
    <xf numFmtId="166" fontId="5" fillId="0" borderId="47" xfId="8" applyNumberFormat="1" applyFont="1" applyBorder="1" applyAlignment="1">
      <alignment horizontal="center" wrapText="1"/>
    </xf>
    <xf numFmtId="166" fontId="5" fillId="0" borderId="48" xfId="8" applyNumberFormat="1" applyFont="1" applyBorder="1" applyAlignment="1">
      <alignment horizontal="center" wrapText="1"/>
    </xf>
    <xf numFmtId="9" fontId="5" fillId="0" borderId="49" xfId="8" applyNumberFormat="1" applyFont="1" applyBorder="1" applyAlignment="1">
      <alignment horizontal="left" wrapText="1"/>
    </xf>
    <xf numFmtId="9" fontId="5" fillId="0" borderId="50" xfId="8" applyNumberFormat="1" applyFont="1" applyBorder="1" applyAlignment="1">
      <alignment horizontal="left" wrapText="1"/>
    </xf>
    <xf numFmtId="49" fontId="5" fillId="0" borderId="49" xfId="8" applyNumberFormat="1" applyFont="1" applyBorder="1" applyAlignment="1">
      <alignment horizontal="left" wrapText="1"/>
    </xf>
    <xf numFmtId="49" fontId="5" fillId="0" borderId="50" xfId="8" applyNumberFormat="1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49" fontId="8" fillId="2" borderId="39" xfId="8" applyNumberFormat="1" applyFont="1" applyFill="1" applyBorder="1" applyAlignment="1">
      <alignment horizontal="center" vertical="center" wrapText="1"/>
    </xf>
    <xf numFmtId="49" fontId="8" fillId="2" borderId="41" xfId="8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3" borderId="47" xfId="0" applyFont="1" applyFill="1" applyBorder="1" applyAlignment="1">
      <alignment horizontal="center"/>
    </xf>
    <xf numFmtId="0" fontId="8" fillId="3" borderId="48" xfId="0" applyFont="1" applyFill="1" applyBorder="1" applyAlignment="1">
      <alignment horizontal="center"/>
    </xf>
    <xf numFmtId="49" fontId="5" fillId="0" borderId="47" xfId="0" applyNumberFormat="1" applyFont="1" applyFill="1" applyBorder="1" applyAlignment="1">
      <alignment horizontal="left" vertical="top" wrapText="1"/>
    </xf>
    <xf numFmtId="49" fontId="5" fillId="0" borderId="48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0" borderId="49" xfId="0" applyNumberFormat="1" applyFont="1" applyBorder="1" applyAlignment="1">
      <alignment horizontal="left" wrapText="1"/>
    </xf>
    <xf numFmtId="0" fontId="0" fillId="0" borderId="0" xfId="0" applyBorder="1" applyAlignment="1"/>
    <xf numFmtId="0" fontId="0" fillId="0" borderId="50" xfId="0" applyBorder="1" applyAlignment="1"/>
  </cellXfs>
  <cellStyles count="10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 2" xfId="6" xr:uid="{00000000-0005-0000-0000-000004000000}"/>
    <cellStyle name="Normal 2 3" xfId="7" xr:uid="{00000000-0005-0000-0000-000005000000}"/>
    <cellStyle name="Normal 2 4" xfId="9" xr:uid="{00000000-0005-0000-0000-000006000000}"/>
    <cellStyle name="Normal 3" xfId="5" xr:uid="{00000000-0005-0000-0000-000007000000}"/>
    <cellStyle name="Normal 4" xfId="8" xr:uid="{00000000-0005-0000-0000-000008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167</xdr:row>
      <xdr:rowOff>0</xdr:rowOff>
    </xdr:from>
    <xdr:to>
      <xdr:col>3</xdr:col>
      <xdr:colOff>0</xdr:colOff>
      <xdr:row>167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17221200"/>
          <a:ext cx="4448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1906</xdr:colOff>
      <xdr:row>0</xdr:row>
      <xdr:rowOff>66675</xdr:rowOff>
    </xdr:from>
    <xdr:to>
      <xdr:col>3</xdr:col>
      <xdr:colOff>639650</xdr:colOff>
      <xdr:row>5</xdr:row>
      <xdr:rowOff>151456</xdr:rowOff>
    </xdr:to>
    <xdr:pic>
      <xdr:nvPicPr>
        <xdr:cNvPr id="1268" name="Picture 2" descr="blacksolidlogo_righttext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1" y="66675"/>
          <a:ext cx="4108654" cy="961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204"/>
  <sheetViews>
    <sheetView tabSelected="1" zoomScale="130" zoomScaleNormal="130" workbookViewId="0">
      <pane xSplit="1" ySplit="9" topLeftCell="B10" activePane="bottomRight" state="frozen"/>
      <selection activeCell="A39" sqref="A39:IV43"/>
      <selection pane="topRight" activeCell="A39" sqref="A39:IV43"/>
      <selection pane="bottomLeft" activeCell="A39" sqref="A39:IV43"/>
      <selection pane="bottomRight" activeCell="B7" sqref="B7"/>
    </sheetView>
  </sheetViews>
  <sheetFormatPr defaultRowHeight="12.75" x14ac:dyDescent="0.2"/>
  <cols>
    <col min="1" max="1" width="5.85546875" customWidth="1"/>
    <col min="2" max="2" width="50.5703125" customWidth="1"/>
    <col min="3" max="3" width="1.42578125" customWidth="1"/>
    <col min="4" max="4" width="17.85546875" customWidth="1"/>
    <col min="5" max="5" width="1.5703125" customWidth="1"/>
    <col min="6" max="6" width="16" customWidth="1"/>
    <col min="7" max="7" width="2.5703125" customWidth="1"/>
    <col min="8" max="8" width="1.42578125" customWidth="1"/>
    <col min="9" max="9" width="18.7109375" style="54" customWidth="1"/>
    <col min="10" max="10" width="3" customWidth="1"/>
    <col min="11" max="11" width="1.140625" customWidth="1"/>
    <col min="12" max="12" width="16.85546875" customWidth="1"/>
    <col min="13" max="13" width="4.42578125" customWidth="1"/>
    <col min="14" max="14" width="1.140625" customWidth="1"/>
    <col min="15" max="15" width="16" bestFit="1" customWidth="1"/>
    <col min="16" max="16" width="3" bestFit="1" customWidth="1"/>
    <col min="17" max="17" width="6.140625" style="210" bestFit="1" customWidth="1"/>
    <col min="18" max="18" width="6.85546875" style="210" customWidth="1"/>
    <col min="19" max="19" width="16" bestFit="1" customWidth="1"/>
    <col min="20" max="20" width="15" bestFit="1" customWidth="1"/>
    <col min="21" max="21" width="12.85546875" bestFit="1" customWidth="1"/>
  </cols>
  <sheetData>
    <row r="3" spans="2:18" ht="23.25" x14ac:dyDescent="0.35">
      <c r="D3" s="57"/>
      <c r="F3" s="319" t="s">
        <v>304</v>
      </c>
      <c r="G3" s="319"/>
      <c r="H3" s="318"/>
      <c r="I3" s="250"/>
    </row>
    <row r="4" spans="2:18" x14ac:dyDescent="0.2">
      <c r="B4" s="28"/>
      <c r="C4" s="29"/>
      <c r="D4" s="34"/>
      <c r="E4" s="34"/>
      <c r="F4" s="34"/>
      <c r="I4" s="21"/>
    </row>
    <row r="5" spans="2:18" ht="7.5" customHeight="1" x14ac:dyDescent="0.2">
      <c r="B5" s="28"/>
      <c r="C5" s="29"/>
      <c r="D5" s="34"/>
      <c r="E5" s="34"/>
      <c r="F5" s="34"/>
    </row>
    <row r="6" spans="2:18" ht="14.25" x14ac:dyDescent="0.2">
      <c r="C6" s="35"/>
      <c r="D6" s="35"/>
      <c r="E6" s="35"/>
      <c r="F6" s="65" t="s">
        <v>55</v>
      </c>
      <c r="G6" s="35"/>
      <c r="H6" s="35"/>
      <c r="I6" s="263">
        <v>43587</v>
      </c>
      <c r="J6" s="35"/>
      <c r="L6" s="263">
        <v>43623</v>
      </c>
      <c r="O6" s="263">
        <v>43641</v>
      </c>
      <c r="P6" s="334"/>
    </row>
    <row r="7" spans="2:18" ht="14.25" x14ac:dyDescent="0.2">
      <c r="B7" s="35"/>
      <c r="C7" s="35"/>
      <c r="D7" s="466"/>
      <c r="E7" s="466"/>
      <c r="F7" s="466"/>
      <c r="G7" s="466"/>
      <c r="H7" s="466"/>
      <c r="I7" s="466"/>
      <c r="J7" s="466"/>
      <c r="O7" s="334"/>
      <c r="P7" s="334"/>
      <c r="Q7" s="467" t="s">
        <v>302</v>
      </c>
      <c r="R7" s="467"/>
    </row>
    <row r="8" spans="2:18" ht="38.25" x14ac:dyDescent="0.2">
      <c r="B8" s="56" t="s">
        <v>88</v>
      </c>
      <c r="C8" s="31"/>
      <c r="D8" s="292" t="s">
        <v>112</v>
      </c>
      <c r="E8" s="293"/>
      <c r="F8" s="294" t="s">
        <v>0</v>
      </c>
      <c r="G8" s="295"/>
      <c r="H8" s="296"/>
      <c r="I8" s="292" t="s">
        <v>12</v>
      </c>
      <c r="L8" s="292" t="s">
        <v>26</v>
      </c>
      <c r="M8" s="52"/>
      <c r="O8" s="292" t="s">
        <v>20</v>
      </c>
      <c r="P8" s="52"/>
      <c r="Q8" s="292" t="s">
        <v>303</v>
      </c>
      <c r="R8" s="292" t="s">
        <v>301</v>
      </c>
    </row>
    <row r="9" spans="2:18" x14ac:dyDescent="0.2">
      <c r="B9" s="21" t="s">
        <v>21</v>
      </c>
      <c r="C9" s="6"/>
      <c r="D9" s="33"/>
      <c r="E9" s="20"/>
      <c r="F9" s="33">
        <v>11766939802</v>
      </c>
      <c r="H9" s="118"/>
      <c r="I9" s="33">
        <f>F9</f>
        <v>11766939802</v>
      </c>
      <c r="L9" s="330">
        <f>I9</f>
        <v>11766939802</v>
      </c>
      <c r="M9" s="52"/>
      <c r="O9" s="330">
        <f>L9</f>
        <v>11766939802</v>
      </c>
      <c r="P9" s="52"/>
    </row>
    <row r="10" spans="2:18" x14ac:dyDescent="0.2">
      <c r="B10" s="21" t="s">
        <v>107</v>
      </c>
      <c r="C10" s="6"/>
      <c r="D10" s="258"/>
      <c r="E10" s="20"/>
      <c r="F10" s="258">
        <f>I10</f>
        <v>2180566432</v>
      </c>
      <c r="H10" s="118"/>
      <c r="I10" s="258">
        <v>2180566432</v>
      </c>
      <c r="L10" s="330">
        <f>I10</f>
        <v>2180566432</v>
      </c>
      <c r="M10" s="52"/>
      <c r="O10" s="330">
        <f>L10</f>
        <v>2180566432</v>
      </c>
      <c r="P10" s="52"/>
    </row>
    <row r="11" spans="2:18" ht="5.25" customHeight="1" x14ac:dyDescent="0.2">
      <c r="B11" s="30"/>
      <c r="C11" s="31"/>
      <c r="D11" s="34"/>
      <c r="E11" s="32"/>
      <c r="F11" s="34"/>
      <c r="H11" s="118"/>
      <c r="I11" s="34" t="s">
        <v>106</v>
      </c>
      <c r="M11" s="258"/>
      <c r="O11" s="334"/>
      <c r="P11" s="258"/>
    </row>
    <row r="12" spans="2:18" ht="15" customHeight="1" x14ac:dyDescent="0.2">
      <c r="B12" s="5" t="s">
        <v>16</v>
      </c>
      <c r="C12" s="1"/>
      <c r="D12" s="3"/>
      <c r="E12" s="4"/>
      <c r="F12" s="3"/>
      <c r="H12" s="118"/>
      <c r="I12" s="3"/>
      <c r="M12" s="52"/>
      <c r="O12" s="334"/>
      <c r="P12" s="52"/>
    </row>
    <row r="13" spans="2:18" ht="5.25" customHeight="1" x14ac:dyDescent="0.2">
      <c r="B13" s="119"/>
      <c r="C13" s="75"/>
      <c r="D13" s="112"/>
      <c r="E13" s="9"/>
      <c r="F13" s="58"/>
      <c r="G13" s="153"/>
      <c r="H13" s="118"/>
      <c r="I13" s="58"/>
      <c r="J13" s="153"/>
      <c r="L13" s="58"/>
      <c r="M13" s="153"/>
      <c r="O13" s="58"/>
      <c r="P13" s="153"/>
      <c r="Q13" s="58"/>
      <c r="R13" s="153"/>
    </row>
    <row r="14" spans="2:18" x14ac:dyDescent="0.2">
      <c r="B14" s="77" t="s">
        <v>2</v>
      </c>
      <c r="C14" s="75"/>
      <c r="D14" s="264"/>
      <c r="E14" s="230"/>
      <c r="F14" s="59">
        <v>22000000</v>
      </c>
      <c r="G14" s="71" t="s">
        <v>13</v>
      </c>
      <c r="H14" s="118"/>
      <c r="I14" s="59">
        <v>47472443</v>
      </c>
      <c r="J14" s="71" t="s">
        <v>13</v>
      </c>
      <c r="L14" s="59">
        <f>I14</f>
        <v>47472443</v>
      </c>
      <c r="M14" s="71" t="s">
        <v>13</v>
      </c>
      <c r="O14" s="59">
        <f>L14</f>
        <v>47472443</v>
      </c>
      <c r="P14" s="71" t="s">
        <v>13</v>
      </c>
      <c r="Q14" s="59"/>
      <c r="R14" s="71">
        <v>52</v>
      </c>
    </row>
    <row r="15" spans="2:18" x14ac:dyDescent="0.2">
      <c r="B15" s="259" t="s">
        <v>1</v>
      </c>
      <c r="C15" s="75"/>
      <c r="D15" s="264"/>
      <c r="E15" s="4"/>
      <c r="F15" s="59"/>
      <c r="G15" s="71"/>
      <c r="H15" s="118"/>
      <c r="I15" s="59">
        <v>3075560</v>
      </c>
      <c r="J15" s="71" t="s">
        <v>13</v>
      </c>
      <c r="L15" s="59">
        <f>I15</f>
        <v>3075560</v>
      </c>
      <c r="M15" s="71" t="s">
        <v>13</v>
      </c>
      <c r="O15" s="59">
        <f>L15</f>
        <v>3075560</v>
      </c>
      <c r="P15" s="71" t="s">
        <v>13</v>
      </c>
      <c r="Q15" s="59"/>
      <c r="R15" s="71">
        <v>53</v>
      </c>
    </row>
    <row r="16" spans="2:18" x14ac:dyDescent="0.2">
      <c r="B16" s="120" t="s">
        <v>90</v>
      </c>
      <c r="C16" s="76"/>
      <c r="D16" s="265"/>
      <c r="E16" s="4"/>
      <c r="F16" s="64"/>
      <c r="G16" s="285"/>
      <c r="H16" s="118"/>
      <c r="I16" s="64">
        <v>14569928</v>
      </c>
      <c r="J16" s="74" t="s">
        <v>13</v>
      </c>
      <c r="L16" s="64">
        <f>66667+15000000</f>
        <v>15066667</v>
      </c>
      <c r="M16" s="74" t="s">
        <v>151</v>
      </c>
      <c r="O16" s="64">
        <f>I16</f>
        <v>14569928</v>
      </c>
      <c r="P16" s="74" t="s">
        <v>17</v>
      </c>
      <c r="Q16" s="64"/>
      <c r="R16" s="74">
        <v>60</v>
      </c>
    </row>
    <row r="17" spans="2:18" ht="7.5" customHeight="1" x14ac:dyDescent="0.2">
      <c r="B17" s="18"/>
      <c r="C17" s="1"/>
      <c r="D17" s="3"/>
      <c r="E17" s="4"/>
      <c r="F17" s="3"/>
      <c r="G17" s="4"/>
      <c r="H17" s="118"/>
      <c r="I17" s="3"/>
      <c r="J17" s="4"/>
      <c r="L17" s="3"/>
      <c r="M17" s="4"/>
      <c r="O17" s="3"/>
      <c r="P17" s="4"/>
    </row>
    <row r="18" spans="2:18" x14ac:dyDescent="0.2">
      <c r="B18" s="5" t="s">
        <v>15</v>
      </c>
      <c r="C18" s="75"/>
      <c r="D18" s="150"/>
      <c r="E18" s="231"/>
      <c r="F18" s="68"/>
      <c r="G18" s="153"/>
      <c r="H18" s="158"/>
      <c r="I18" s="68"/>
      <c r="J18" s="157"/>
      <c r="L18" s="68"/>
      <c r="M18" s="157"/>
      <c r="O18" s="68"/>
      <c r="P18" s="157"/>
      <c r="Q18" s="447"/>
      <c r="R18" s="448"/>
    </row>
    <row r="19" spans="2:18" ht="8.1" customHeight="1" x14ac:dyDescent="0.2">
      <c r="B19" s="79"/>
      <c r="C19" s="75"/>
      <c r="D19" s="264"/>
      <c r="E19" s="39"/>
      <c r="F19" s="63"/>
      <c r="G19" s="69"/>
      <c r="H19" s="118"/>
      <c r="I19" s="63"/>
      <c r="J19" s="69"/>
      <c r="L19" s="63"/>
      <c r="M19" s="69"/>
      <c r="O19" s="63"/>
      <c r="P19" s="69"/>
      <c r="Q19" s="449"/>
      <c r="R19" s="450"/>
    </row>
    <row r="20" spans="2:18" x14ac:dyDescent="0.2">
      <c r="B20" s="79" t="s">
        <v>67</v>
      </c>
      <c r="C20" s="1"/>
      <c r="D20" s="264"/>
      <c r="E20" s="37"/>
      <c r="F20" s="63">
        <v>6500000</v>
      </c>
      <c r="G20" s="69" t="s">
        <v>13</v>
      </c>
      <c r="H20" s="118"/>
      <c r="I20" s="70"/>
      <c r="J20" s="69"/>
      <c r="L20" s="70"/>
      <c r="M20" s="69"/>
      <c r="O20" s="70"/>
      <c r="P20" s="69"/>
      <c r="Q20" s="449"/>
      <c r="R20" s="450"/>
    </row>
    <row r="21" spans="2:18" x14ac:dyDescent="0.2">
      <c r="B21" s="79" t="s">
        <v>147</v>
      </c>
      <c r="C21" s="1"/>
      <c r="D21" s="264"/>
      <c r="E21" s="37"/>
      <c r="F21" s="63"/>
      <c r="G21" s="69"/>
      <c r="H21" s="118"/>
      <c r="I21" s="70"/>
      <c r="J21" s="69"/>
      <c r="L21" s="63">
        <v>35368857</v>
      </c>
      <c r="M21" s="69" t="s">
        <v>13</v>
      </c>
      <c r="N21" s="57"/>
      <c r="O21" s="63"/>
      <c r="P21" s="69"/>
      <c r="Q21" s="449"/>
      <c r="R21" s="450"/>
    </row>
    <row r="22" spans="2:18" x14ac:dyDescent="0.2">
      <c r="B22" s="79" t="s">
        <v>293</v>
      </c>
      <c r="C22" s="1"/>
      <c r="D22" s="264"/>
      <c r="E22" s="37"/>
      <c r="F22" s="63"/>
      <c r="G22" s="69"/>
      <c r="H22" s="118"/>
      <c r="I22" s="70"/>
      <c r="J22" s="69"/>
      <c r="L22" s="70">
        <v>-27368857</v>
      </c>
      <c r="M22" s="69" t="s">
        <v>13</v>
      </c>
      <c r="N22" s="57"/>
      <c r="O22" s="63">
        <v>20000000</v>
      </c>
      <c r="P22" s="69" t="s">
        <v>13</v>
      </c>
      <c r="Q22" s="449"/>
      <c r="R22" s="450">
        <v>58</v>
      </c>
    </row>
    <row r="23" spans="2:18" x14ac:dyDescent="0.2">
      <c r="B23" s="79" t="s">
        <v>68</v>
      </c>
      <c r="C23" s="67"/>
      <c r="D23" s="264">
        <v>71547209</v>
      </c>
      <c r="E23" s="4"/>
      <c r="F23" s="63">
        <v>40000000</v>
      </c>
      <c r="G23" s="71" t="s">
        <v>13</v>
      </c>
      <c r="H23" s="118"/>
      <c r="I23" s="63"/>
      <c r="J23" s="71"/>
      <c r="L23" s="63"/>
      <c r="M23" s="71"/>
      <c r="N23" s="55"/>
      <c r="O23" s="63"/>
      <c r="P23" s="71"/>
      <c r="Q23" s="449"/>
      <c r="R23" s="450"/>
    </row>
    <row r="24" spans="2:18" x14ac:dyDescent="0.2">
      <c r="B24" s="79" t="s">
        <v>89</v>
      </c>
      <c r="C24" s="67"/>
      <c r="D24" s="264"/>
      <c r="E24" s="4"/>
      <c r="F24" s="63"/>
      <c r="G24" s="71"/>
      <c r="H24" s="118"/>
      <c r="I24" s="63">
        <v>19000000</v>
      </c>
      <c r="J24" s="71" t="s">
        <v>17</v>
      </c>
      <c r="L24" s="63">
        <f>10000000+8200000</f>
        <v>18200000</v>
      </c>
      <c r="M24" s="71" t="s">
        <v>151</v>
      </c>
      <c r="N24" s="326"/>
      <c r="O24" s="63"/>
      <c r="P24" s="71"/>
      <c r="Q24" s="451">
        <v>7.36</v>
      </c>
      <c r="R24" s="452"/>
    </row>
    <row r="25" spans="2:18" x14ac:dyDescent="0.2">
      <c r="B25" s="79" t="s">
        <v>92</v>
      </c>
      <c r="C25" s="67"/>
      <c r="D25" s="264"/>
      <c r="E25" s="4"/>
      <c r="F25" s="63"/>
      <c r="G25" s="71"/>
      <c r="H25" s="118"/>
      <c r="I25" s="63">
        <v>3000000</v>
      </c>
      <c r="J25" s="71" t="s">
        <v>17</v>
      </c>
      <c r="L25" s="63">
        <f>6000000+1700000</f>
        <v>7700000</v>
      </c>
      <c r="M25" s="71" t="s">
        <v>13</v>
      </c>
      <c r="N25" s="57"/>
      <c r="O25" s="63">
        <v>3000000</v>
      </c>
      <c r="P25" s="71" t="s">
        <v>13</v>
      </c>
      <c r="Q25" s="451">
        <v>7.36</v>
      </c>
      <c r="R25" s="452">
        <v>65</v>
      </c>
    </row>
    <row r="26" spans="2:18" x14ac:dyDescent="0.2">
      <c r="B26" s="79" t="s">
        <v>91</v>
      </c>
      <c r="C26" s="67"/>
      <c r="D26" s="264"/>
      <c r="E26" s="4"/>
      <c r="F26" s="63"/>
      <c r="G26" s="71"/>
      <c r="H26" s="118"/>
      <c r="I26" s="63">
        <v>3000000</v>
      </c>
      <c r="J26" s="71" t="s">
        <v>17</v>
      </c>
      <c r="L26" s="63">
        <f>6100000</f>
        <v>6100000</v>
      </c>
      <c r="M26" s="71" t="s">
        <v>17</v>
      </c>
      <c r="N26" s="57"/>
      <c r="O26" s="63">
        <f>L26</f>
        <v>6100000</v>
      </c>
      <c r="P26" s="71" t="s">
        <v>17</v>
      </c>
      <c r="Q26" s="451">
        <v>7.36</v>
      </c>
      <c r="R26" s="452">
        <v>62</v>
      </c>
    </row>
    <row r="27" spans="2:18" x14ac:dyDescent="0.2">
      <c r="B27" s="79" t="s">
        <v>93</v>
      </c>
      <c r="C27" s="67"/>
      <c r="D27" s="264"/>
      <c r="E27" s="4"/>
      <c r="F27" s="63"/>
      <c r="G27" s="71"/>
      <c r="H27" s="118"/>
      <c r="I27" s="63">
        <v>3000000</v>
      </c>
      <c r="J27" s="71" t="s">
        <v>17</v>
      </c>
      <c r="L27" s="63">
        <v>4500000</v>
      </c>
      <c r="M27" s="71" t="s">
        <v>17</v>
      </c>
      <c r="N27" s="57"/>
      <c r="O27" s="63">
        <f>L27</f>
        <v>4500000</v>
      </c>
      <c r="P27" s="71" t="s">
        <v>17</v>
      </c>
      <c r="Q27" s="451">
        <v>7.36</v>
      </c>
      <c r="R27" s="452">
        <v>63</v>
      </c>
    </row>
    <row r="28" spans="2:18" x14ac:dyDescent="0.2">
      <c r="B28" s="79" t="s">
        <v>94</v>
      </c>
      <c r="C28" s="67"/>
      <c r="D28" s="264"/>
      <c r="E28" s="4"/>
      <c r="F28" s="63"/>
      <c r="G28" s="71"/>
      <c r="H28" s="118"/>
      <c r="I28" s="63">
        <v>2000000</v>
      </c>
      <c r="J28" s="71" t="s">
        <v>17</v>
      </c>
      <c r="L28" s="63">
        <v>4500000</v>
      </c>
      <c r="M28" s="71" t="s">
        <v>17</v>
      </c>
      <c r="N28" s="57"/>
      <c r="O28" s="63">
        <f>L28</f>
        <v>4500000</v>
      </c>
      <c r="P28" s="71" t="s">
        <v>17</v>
      </c>
      <c r="Q28" s="451">
        <v>7.36</v>
      </c>
      <c r="R28" s="452">
        <v>64</v>
      </c>
    </row>
    <row r="29" spans="2:18" x14ac:dyDescent="0.2">
      <c r="B29" s="79" t="s">
        <v>69</v>
      </c>
      <c r="C29" s="67"/>
      <c r="D29" s="264"/>
      <c r="E29" s="4"/>
      <c r="F29" s="63">
        <v>15000000</v>
      </c>
      <c r="G29" s="71" t="s">
        <v>17</v>
      </c>
      <c r="H29" s="118"/>
      <c r="I29" s="63"/>
      <c r="J29" s="71"/>
      <c r="L29" s="63"/>
      <c r="M29" s="71"/>
      <c r="N29" s="57"/>
      <c r="O29" s="63"/>
      <c r="P29" s="71"/>
      <c r="Q29" s="451"/>
      <c r="R29" s="452"/>
    </row>
    <row r="30" spans="2:18" x14ac:dyDescent="0.2">
      <c r="B30" s="79" t="s">
        <v>80</v>
      </c>
      <c r="C30" s="67"/>
      <c r="D30" s="264"/>
      <c r="E30" s="4"/>
      <c r="F30" s="63"/>
      <c r="G30" s="71"/>
      <c r="H30" s="118"/>
      <c r="I30" s="63"/>
      <c r="J30" s="71"/>
      <c r="L30" s="63"/>
      <c r="M30" s="71"/>
      <c r="O30" s="63"/>
      <c r="P30" s="71"/>
      <c r="Q30" s="451"/>
      <c r="R30" s="452"/>
    </row>
    <row r="31" spans="2:18" x14ac:dyDescent="0.2">
      <c r="B31" s="79" t="s">
        <v>75</v>
      </c>
      <c r="C31" s="67"/>
      <c r="D31" s="264"/>
      <c r="E31" s="4"/>
      <c r="F31" s="63">
        <v>500000</v>
      </c>
      <c r="G31" s="71" t="s">
        <v>13</v>
      </c>
      <c r="H31" s="118"/>
      <c r="I31" s="63"/>
      <c r="J31" s="71"/>
      <c r="L31" s="63"/>
      <c r="M31" s="71"/>
      <c r="O31" s="63"/>
      <c r="P31" s="71"/>
      <c r="Q31" s="451"/>
      <c r="R31" s="452"/>
    </row>
    <row r="32" spans="2:18" x14ac:dyDescent="0.2">
      <c r="B32" s="79" t="s">
        <v>76</v>
      </c>
      <c r="C32" s="67"/>
      <c r="D32" s="264"/>
      <c r="E32" s="4"/>
      <c r="F32" s="63">
        <v>1900000</v>
      </c>
      <c r="G32" s="71" t="s">
        <v>13</v>
      </c>
      <c r="H32" s="118"/>
      <c r="I32" s="63"/>
      <c r="J32" s="71"/>
      <c r="L32" s="63"/>
      <c r="M32" s="71"/>
      <c r="O32" s="63"/>
      <c r="P32" s="71"/>
      <c r="Q32" s="451"/>
      <c r="R32" s="452"/>
    </row>
    <row r="33" spans="2:18" x14ac:dyDescent="0.2">
      <c r="B33" s="79" t="s">
        <v>77</v>
      </c>
      <c r="C33" s="67"/>
      <c r="D33" s="264"/>
      <c r="E33" s="4"/>
      <c r="F33" s="63">
        <v>500000</v>
      </c>
      <c r="G33" s="71" t="s">
        <v>13</v>
      </c>
      <c r="H33" s="118"/>
      <c r="I33" s="63">
        <v>500000</v>
      </c>
      <c r="J33" s="71" t="s">
        <v>13</v>
      </c>
      <c r="L33" s="63">
        <v>500000</v>
      </c>
      <c r="M33" s="71" t="s">
        <v>13</v>
      </c>
      <c r="N33" s="57"/>
      <c r="O33" s="63">
        <v>500000</v>
      </c>
      <c r="P33" s="71" t="s">
        <v>13</v>
      </c>
      <c r="Q33" s="451">
        <v>7.9</v>
      </c>
      <c r="R33" s="452">
        <v>79</v>
      </c>
    </row>
    <row r="34" spans="2:18" x14ac:dyDescent="0.2">
      <c r="B34" s="79" t="s">
        <v>78</v>
      </c>
      <c r="C34" s="67"/>
      <c r="D34" s="264"/>
      <c r="E34" s="4"/>
      <c r="F34" s="63">
        <v>1800000</v>
      </c>
      <c r="G34" s="71" t="s">
        <v>13</v>
      </c>
      <c r="H34" s="118"/>
      <c r="I34" s="63"/>
      <c r="J34" s="71"/>
      <c r="L34" s="63"/>
      <c r="M34" s="71"/>
      <c r="O34" s="63"/>
      <c r="P34" s="71"/>
      <c r="Q34" s="451"/>
      <c r="R34" s="452"/>
    </row>
    <row r="35" spans="2:18" x14ac:dyDescent="0.2">
      <c r="B35" s="79" t="s">
        <v>79</v>
      </c>
      <c r="C35" s="67"/>
      <c r="D35" s="264"/>
      <c r="E35" s="4"/>
      <c r="F35" s="63">
        <v>300000</v>
      </c>
      <c r="G35" s="71" t="s">
        <v>13</v>
      </c>
      <c r="H35" s="118"/>
      <c r="I35" s="63"/>
      <c r="J35" s="71"/>
      <c r="L35" s="63"/>
      <c r="M35" s="71"/>
      <c r="O35" s="63"/>
      <c r="P35" s="71"/>
      <c r="Q35" s="451"/>
      <c r="R35" s="452"/>
    </row>
    <row r="36" spans="2:18" x14ac:dyDescent="0.2">
      <c r="B36" s="79" t="s">
        <v>70</v>
      </c>
      <c r="C36" s="67"/>
      <c r="D36" s="264">
        <v>5600000</v>
      </c>
      <c r="E36" s="4"/>
      <c r="F36" s="63">
        <v>5325000</v>
      </c>
      <c r="G36" s="71" t="s">
        <v>13</v>
      </c>
      <c r="H36" s="118"/>
      <c r="I36" s="63"/>
      <c r="J36" s="71"/>
      <c r="L36" s="63"/>
      <c r="M36" s="71"/>
      <c r="O36" s="63"/>
      <c r="P36" s="71"/>
      <c r="Q36" s="451"/>
      <c r="R36" s="452"/>
    </row>
    <row r="37" spans="2:18" x14ac:dyDescent="0.2">
      <c r="B37" s="79" t="s">
        <v>258</v>
      </c>
      <c r="C37" s="67"/>
      <c r="D37" s="264"/>
      <c r="E37" s="4"/>
      <c r="F37" s="63"/>
      <c r="G37" s="71"/>
      <c r="H37" s="118"/>
      <c r="I37" s="63"/>
      <c r="J37" s="71"/>
      <c r="L37" s="63">
        <v>70000</v>
      </c>
      <c r="M37" s="71" t="s">
        <v>17</v>
      </c>
      <c r="O37" s="63">
        <v>70000</v>
      </c>
      <c r="P37" s="71" t="s">
        <v>17</v>
      </c>
      <c r="Q37" s="451">
        <v>7.42</v>
      </c>
      <c r="R37" s="452">
        <v>82</v>
      </c>
    </row>
    <row r="38" spans="2:18" x14ac:dyDescent="0.2">
      <c r="B38" s="79" t="s">
        <v>113</v>
      </c>
      <c r="C38" s="67"/>
      <c r="D38" s="264">
        <v>1000000</v>
      </c>
      <c r="E38" s="4"/>
      <c r="F38" s="63"/>
      <c r="G38" s="71"/>
      <c r="H38" s="118"/>
      <c r="I38" s="63"/>
      <c r="J38" s="71"/>
      <c r="L38" s="63"/>
      <c r="M38" s="71"/>
      <c r="O38" s="63"/>
      <c r="P38" s="71"/>
      <c r="Q38" s="451"/>
      <c r="R38" s="452"/>
    </row>
    <row r="39" spans="2:18" x14ac:dyDescent="0.2">
      <c r="B39" s="79" t="s">
        <v>81</v>
      </c>
      <c r="C39" s="67"/>
      <c r="D39" s="264"/>
      <c r="E39" s="4"/>
      <c r="F39" s="63"/>
      <c r="G39" s="71"/>
      <c r="H39" s="118"/>
      <c r="I39" s="63"/>
      <c r="J39" s="71"/>
      <c r="L39" s="63"/>
      <c r="M39" s="71"/>
      <c r="O39" s="63"/>
      <c r="P39" s="71"/>
      <c r="Q39" s="451"/>
      <c r="R39" s="452"/>
    </row>
    <row r="40" spans="2:18" x14ac:dyDescent="0.2">
      <c r="B40" s="79" t="s">
        <v>73</v>
      </c>
      <c r="C40" s="67"/>
      <c r="D40" s="264">
        <v>10000000</v>
      </c>
      <c r="E40" s="4"/>
      <c r="F40" s="63">
        <v>10000000</v>
      </c>
      <c r="G40" s="71" t="s">
        <v>17</v>
      </c>
      <c r="H40" s="118"/>
      <c r="I40" s="63">
        <v>10000000</v>
      </c>
      <c r="J40" s="71" t="s">
        <v>17</v>
      </c>
      <c r="L40" s="63">
        <v>10900000</v>
      </c>
      <c r="M40" s="71" t="s">
        <v>13</v>
      </c>
      <c r="N40" s="57"/>
      <c r="O40" s="63">
        <f>L40</f>
        <v>10900000</v>
      </c>
      <c r="P40" s="71" t="s">
        <v>13</v>
      </c>
      <c r="Q40" s="451"/>
      <c r="R40" s="452">
        <v>61</v>
      </c>
    </row>
    <row r="41" spans="2:18" x14ac:dyDescent="0.2">
      <c r="B41" s="79" t="s">
        <v>73</v>
      </c>
      <c r="C41" s="67"/>
      <c r="D41" s="264"/>
      <c r="E41" s="4"/>
      <c r="F41" s="63"/>
      <c r="G41" s="71"/>
      <c r="H41" s="118"/>
      <c r="I41" s="63">
        <v>1326271</v>
      </c>
      <c r="J41" s="71" t="s">
        <v>13</v>
      </c>
      <c r="L41" s="63"/>
      <c r="M41" s="71"/>
      <c r="O41" s="63"/>
      <c r="P41" s="71"/>
      <c r="Q41" s="451"/>
      <c r="R41" s="452"/>
    </row>
    <row r="42" spans="2:18" x14ac:dyDescent="0.2">
      <c r="B42" s="79" t="s">
        <v>111</v>
      </c>
      <c r="C42" s="67"/>
      <c r="D42" s="264">
        <v>18000000</v>
      </c>
      <c r="E42" s="4"/>
      <c r="F42" s="63">
        <v>15000000</v>
      </c>
      <c r="G42" s="71" t="s">
        <v>17</v>
      </c>
      <c r="H42" s="118"/>
      <c r="I42" s="63">
        <v>15000000</v>
      </c>
      <c r="J42" s="71" t="s">
        <v>17</v>
      </c>
      <c r="L42" s="63">
        <v>15000000</v>
      </c>
      <c r="M42" s="71" t="s">
        <v>13</v>
      </c>
      <c r="N42" s="57"/>
      <c r="O42" s="63">
        <f>L42</f>
        <v>15000000</v>
      </c>
      <c r="P42" s="71" t="s">
        <v>17</v>
      </c>
      <c r="Q42" s="451">
        <v>7.31</v>
      </c>
      <c r="R42" s="452">
        <v>59</v>
      </c>
    </row>
    <row r="43" spans="2:18" x14ac:dyDescent="0.2">
      <c r="B43" s="79" t="s">
        <v>74</v>
      </c>
      <c r="C43" s="67"/>
      <c r="D43" s="264">
        <v>3900000</v>
      </c>
      <c r="E43" s="4"/>
      <c r="F43" s="63">
        <v>4000000</v>
      </c>
      <c r="G43" s="71" t="s">
        <v>17</v>
      </c>
      <c r="H43" s="118"/>
      <c r="I43" s="63"/>
      <c r="J43" s="71"/>
      <c r="L43" s="63"/>
      <c r="M43" s="71"/>
      <c r="O43" s="63"/>
      <c r="P43" s="71"/>
      <c r="Q43" s="451"/>
      <c r="R43" s="452"/>
    </row>
    <row r="44" spans="2:18" ht="12.75" customHeight="1" x14ac:dyDescent="0.2">
      <c r="B44" s="81" t="s">
        <v>118</v>
      </c>
      <c r="C44" s="1"/>
      <c r="D44" s="268">
        <v>450000</v>
      </c>
      <c r="E44" s="266"/>
      <c r="F44" s="86"/>
      <c r="G44" s="154"/>
      <c r="H44" s="236"/>
      <c r="I44" s="86"/>
      <c r="J44" s="154"/>
      <c r="L44" s="86"/>
      <c r="M44" s="154"/>
      <c r="O44" s="86"/>
      <c r="P44" s="154"/>
      <c r="Q44" s="451"/>
      <c r="R44" s="452"/>
    </row>
    <row r="45" spans="2:18" ht="12.75" customHeight="1" x14ac:dyDescent="0.2">
      <c r="B45" s="81" t="s">
        <v>115</v>
      </c>
      <c r="C45" s="1"/>
      <c r="D45" s="268">
        <v>6000000</v>
      </c>
      <c r="E45" s="266"/>
      <c r="F45" s="86"/>
      <c r="G45" s="154"/>
      <c r="H45" s="236"/>
      <c r="I45" s="86"/>
      <c r="J45" s="154"/>
      <c r="L45" s="86"/>
      <c r="M45" s="154"/>
      <c r="O45" s="86"/>
      <c r="P45" s="154"/>
      <c r="Q45" s="451"/>
      <c r="R45" s="452"/>
    </row>
    <row r="46" spans="2:18" ht="12.75" customHeight="1" x14ac:dyDescent="0.2">
      <c r="B46" s="81" t="s">
        <v>128</v>
      </c>
      <c r="C46" s="1"/>
      <c r="D46" s="268">
        <v>4000000</v>
      </c>
      <c r="E46" s="233"/>
      <c r="F46" s="86"/>
      <c r="G46" s="154"/>
      <c r="H46" s="236"/>
      <c r="I46" s="284"/>
      <c r="J46" s="154"/>
      <c r="L46" s="284"/>
      <c r="M46" s="154"/>
      <c r="O46" s="284"/>
      <c r="P46" s="154"/>
      <c r="Q46" s="451"/>
      <c r="R46" s="452"/>
    </row>
    <row r="47" spans="2:18" x14ac:dyDescent="0.2">
      <c r="B47" s="79" t="s">
        <v>95</v>
      </c>
      <c r="C47" s="67"/>
      <c r="D47" s="264">
        <v>2400000</v>
      </c>
      <c r="E47" s="4"/>
      <c r="F47" s="63"/>
      <c r="G47" s="71"/>
      <c r="H47" s="118"/>
      <c r="I47" s="63">
        <v>700000</v>
      </c>
      <c r="J47" s="71" t="s">
        <v>13</v>
      </c>
      <c r="L47" s="63"/>
      <c r="M47" s="71"/>
      <c r="O47" s="63">
        <v>500000</v>
      </c>
      <c r="P47" s="71" t="s">
        <v>13</v>
      </c>
      <c r="Q47" s="451"/>
      <c r="R47" s="452">
        <v>69</v>
      </c>
    </row>
    <row r="48" spans="2:18" x14ac:dyDescent="0.2">
      <c r="B48" s="79" t="s">
        <v>120</v>
      </c>
      <c r="C48" s="67"/>
      <c r="D48" s="264">
        <v>550000</v>
      </c>
      <c r="E48" s="4"/>
      <c r="F48" s="63"/>
      <c r="G48" s="69"/>
      <c r="H48" s="118"/>
      <c r="I48" s="63">
        <v>550000</v>
      </c>
      <c r="J48" s="71" t="s">
        <v>13</v>
      </c>
      <c r="L48" s="63"/>
      <c r="M48" s="71"/>
      <c r="O48" s="63">
        <v>550000</v>
      </c>
      <c r="P48" s="71" t="s">
        <v>13</v>
      </c>
      <c r="Q48" s="451">
        <v>7.8</v>
      </c>
      <c r="R48" s="452">
        <v>78</v>
      </c>
    </row>
    <row r="49" spans="2:18" x14ac:dyDescent="0.2">
      <c r="B49" s="79" t="s">
        <v>125</v>
      </c>
      <c r="C49" s="67"/>
      <c r="D49" s="264">
        <v>15000000</v>
      </c>
      <c r="E49" s="4"/>
      <c r="F49" s="63"/>
      <c r="G49" s="69"/>
      <c r="H49" s="118"/>
      <c r="I49" s="63"/>
      <c r="J49" s="71"/>
      <c r="L49" s="63"/>
      <c r="M49" s="71"/>
      <c r="O49" s="63"/>
      <c r="P49" s="71"/>
      <c r="Q49" s="451"/>
      <c r="R49" s="452"/>
    </row>
    <row r="50" spans="2:18" x14ac:dyDescent="0.2">
      <c r="B50" s="79" t="s">
        <v>124</v>
      </c>
      <c r="C50" s="6"/>
      <c r="D50" s="264">
        <v>5000000</v>
      </c>
      <c r="E50" s="37"/>
      <c r="F50" s="63">
        <v>5000000</v>
      </c>
      <c r="G50" s="69" t="s">
        <v>13</v>
      </c>
      <c r="H50" s="118"/>
      <c r="I50" s="63"/>
      <c r="J50" s="71"/>
      <c r="L50" s="63">
        <v>3000000</v>
      </c>
      <c r="M50" s="71" t="s">
        <v>17</v>
      </c>
      <c r="O50" s="63">
        <f>L50</f>
        <v>3000000</v>
      </c>
      <c r="P50" s="71" t="s">
        <v>17</v>
      </c>
      <c r="Q50" s="451">
        <v>7.43</v>
      </c>
      <c r="R50" s="452">
        <v>67</v>
      </c>
    </row>
    <row r="51" spans="2:18" x14ac:dyDescent="0.2">
      <c r="B51" s="79" t="s">
        <v>72</v>
      </c>
      <c r="C51" s="6"/>
      <c r="D51" s="264">
        <v>1510000</v>
      </c>
      <c r="E51" s="37"/>
      <c r="F51" s="63">
        <f>475000+1035000</f>
        <v>1510000</v>
      </c>
      <c r="G51" s="69" t="s">
        <v>13</v>
      </c>
      <c r="H51" s="118"/>
      <c r="I51" s="63"/>
      <c r="J51" s="71"/>
      <c r="L51" s="63">
        <v>1510000</v>
      </c>
      <c r="M51" s="71" t="s">
        <v>13</v>
      </c>
      <c r="N51" s="57"/>
      <c r="O51" s="63">
        <f>L51</f>
        <v>1510000</v>
      </c>
      <c r="P51" s="71" t="s">
        <v>13</v>
      </c>
      <c r="Q51" s="451">
        <v>7.27</v>
      </c>
      <c r="R51" s="452">
        <v>68</v>
      </c>
    </row>
    <row r="52" spans="2:18" x14ac:dyDescent="0.2">
      <c r="B52" s="79" t="s">
        <v>83</v>
      </c>
      <c r="C52" s="6"/>
      <c r="D52" s="264"/>
      <c r="E52" s="37"/>
      <c r="F52" s="63">
        <v>3000000</v>
      </c>
      <c r="G52" s="69" t="s">
        <v>13</v>
      </c>
      <c r="H52" s="118"/>
      <c r="I52" s="63"/>
      <c r="J52" s="69"/>
      <c r="L52" s="63"/>
      <c r="M52" s="69"/>
      <c r="O52" s="63"/>
      <c r="P52" s="69"/>
      <c r="Q52" s="451"/>
      <c r="R52" s="452"/>
    </row>
    <row r="53" spans="2:18" x14ac:dyDescent="0.2">
      <c r="B53" s="79" t="s">
        <v>262</v>
      </c>
      <c r="C53" s="6"/>
      <c r="D53" s="264"/>
      <c r="E53" s="37"/>
      <c r="F53" s="63"/>
      <c r="G53" s="69"/>
      <c r="H53" s="118"/>
      <c r="I53" s="63"/>
      <c r="J53" s="69"/>
      <c r="L53" s="63">
        <v>3000000</v>
      </c>
      <c r="M53" s="69" t="s">
        <v>13</v>
      </c>
      <c r="N53" s="57"/>
      <c r="O53" s="63">
        <f>L53</f>
        <v>3000000</v>
      </c>
      <c r="P53" s="69" t="s">
        <v>17</v>
      </c>
      <c r="Q53" s="451">
        <v>7.41</v>
      </c>
      <c r="R53" s="452">
        <v>66</v>
      </c>
    </row>
    <row r="54" spans="2:18" x14ac:dyDescent="0.2">
      <c r="B54" s="79" t="s">
        <v>149</v>
      </c>
      <c r="C54" s="6"/>
      <c r="D54" s="264"/>
      <c r="E54" s="37"/>
      <c r="F54" s="63"/>
      <c r="G54" s="69"/>
      <c r="H54" s="118"/>
      <c r="I54" s="63"/>
      <c r="J54" s="69"/>
      <c r="L54" s="63">
        <v>-450000</v>
      </c>
      <c r="M54" s="69" t="s">
        <v>13</v>
      </c>
      <c r="O54" s="63">
        <f>L54</f>
        <v>-450000</v>
      </c>
      <c r="P54" s="69" t="s">
        <v>13</v>
      </c>
      <c r="Q54" s="451">
        <v>56</v>
      </c>
      <c r="R54" s="452"/>
    </row>
    <row r="55" spans="2:18" x14ac:dyDescent="0.2">
      <c r="B55" s="79" t="s">
        <v>149</v>
      </c>
      <c r="C55" s="6"/>
      <c r="D55" s="264"/>
      <c r="E55" s="37"/>
      <c r="F55" s="63"/>
      <c r="G55" s="69"/>
      <c r="H55" s="118"/>
      <c r="I55" s="63"/>
      <c r="J55" s="69"/>
      <c r="L55" s="63">
        <v>-5200000</v>
      </c>
      <c r="M55" s="69" t="s">
        <v>17</v>
      </c>
      <c r="O55" s="63">
        <v>-9200000</v>
      </c>
      <c r="P55" s="69" t="s">
        <v>17</v>
      </c>
      <c r="Q55" s="451"/>
      <c r="R55" s="452">
        <v>56</v>
      </c>
    </row>
    <row r="56" spans="2:18" s="334" customFormat="1" x14ac:dyDescent="0.2">
      <c r="B56" s="79" t="s">
        <v>264</v>
      </c>
      <c r="C56" s="6"/>
      <c r="D56" s="264"/>
      <c r="E56" s="37"/>
      <c r="F56" s="63"/>
      <c r="G56" s="69"/>
      <c r="H56" s="118"/>
      <c r="I56" s="63"/>
      <c r="J56" s="69"/>
      <c r="L56" s="63"/>
      <c r="M56" s="69"/>
      <c r="O56" s="63">
        <v>350000</v>
      </c>
      <c r="P56" s="69" t="s">
        <v>13</v>
      </c>
      <c r="Q56" s="451"/>
      <c r="R56" s="452">
        <v>72</v>
      </c>
    </row>
    <row r="57" spans="2:18" ht="8.1" customHeight="1" x14ac:dyDescent="0.2">
      <c r="B57" s="79"/>
      <c r="C57" s="75"/>
      <c r="D57" s="264"/>
      <c r="E57" s="39"/>
      <c r="F57" s="63"/>
      <c r="G57" s="69"/>
      <c r="H57" s="4"/>
      <c r="I57" s="63"/>
      <c r="J57" s="69"/>
      <c r="L57" s="63"/>
      <c r="M57" s="69"/>
      <c r="O57" s="63"/>
      <c r="P57" s="69"/>
      <c r="Q57" s="451"/>
      <c r="R57" s="452"/>
    </row>
    <row r="58" spans="2:18" ht="4.5" customHeight="1" x14ac:dyDescent="0.2">
      <c r="B58" s="80"/>
      <c r="C58" s="78"/>
      <c r="D58" s="265"/>
      <c r="E58" s="232"/>
      <c r="F58" s="64"/>
      <c r="G58" s="74"/>
      <c r="H58" s="4"/>
      <c r="I58" s="64"/>
      <c r="J58" s="74"/>
      <c r="L58" s="64"/>
      <c r="M58" s="74"/>
      <c r="O58" s="64"/>
      <c r="P58" s="74"/>
      <c r="Q58" s="453"/>
      <c r="R58" s="454"/>
    </row>
    <row r="59" spans="2:18" x14ac:dyDescent="0.2">
      <c r="B59" s="89" t="s">
        <v>3</v>
      </c>
      <c r="C59" s="1"/>
      <c r="D59" s="72">
        <f>SUM(D13:D58)</f>
        <v>144957209</v>
      </c>
      <c r="E59" s="37"/>
      <c r="F59" s="72">
        <f>SUM(F14:F52)</f>
        <v>132335000</v>
      </c>
      <c r="G59" s="152"/>
      <c r="H59" s="159"/>
      <c r="I59" s="72">
        <f>SUM(I14:I52)</f>
        <v>123194202</v>
      </c>
      <c r="J59" s="152"/>
      <c r="L59" s="72">
        <f>SUM(L14:L55)</f>
        <v>142944670</v>
      </c>
      <c r="M59" s="152"/>
      <c r="O59" s="72">
        <f>SUM(O14:O56)</f>
        <v>128947931</v>
      </c>
      <c r="P59" s="152"/>
      <c r="Q59" s="443"/>
      <c r="R59" s="443"/>
    </row>
    <row r="60" spans="2:18" ht="6" customHeight="1" x14ac:dyDescent="0.2">
      <c r="B60" s="7"/>
      <c r="C60" s="1"/>
      <c r="D60" s="3"/>
      <c r="E60" s="37"/>
      <c r="F60" s="3"/>
      <c r="G60" s="4"/>
      <c r="H60" s="4"/>
      <c r="I60" s="3"/>
      <c r="J60" s="4"/>
      <c r="L60" s="3"/>
      <c r="M60" s="4"/>
      <c r="O60" s="3"/>
      <c r="P60" s="4"/>
      <c r="Q60" s="443"/>
      <c r="R60" s="443"/>
    </row>
    <row r="61" spans="2:18" x14ac:dyDescent="0.2">
      <c r="B61" s="5" t="s">
        <v>4</v>
      </c>
      <c r="C61" s="1"/>
      <c r="D61" s="34"/>
      <c r="E61" s="233"/>
      <c r="F61" s="34"/>
      <c r="G61" s="73"/>
      <c r="H61" s="160"/>
      <c r="I61" s="34"/>
      <c r="J61" s="73"/>
      <c r="L61" s="34"/>
      <c r="M61" s="73"/>
      <c r="O61" s="34"/>
      <c r="P61" s="73"/>
      <c r="Q61" s="443"/>
      <c r="R61" s="443"/>
    </row>
    <row r="62" spans="2:18" ht="9" customHeight="1" x14ac:dyDescent="0.2">
      <c r="B62" s="81"/>
      <c r="C62" s="75"/>
      <c r="D62" s="267"/>
      <c r="E62" s="38"/>
      <c r="F62" s="140"/>
      <c r="G62" s="202"/>
      <c r="H62" s="236"/>
      <c r="I62" s="140"/>
      <c r="J62" s="202"/>
      <c r="L62" s="140"/>
      <c r="M62" s="202"/>
      <c r="O62" s="140"/>
      <c r="P62" s="202"/>
      <c r="Q62" s="455"/>
      <c r="R62" s="456"/>
    </row>
    <row r="63" spans="2:18" ht="12.75" customHeight="1" x14ac:dyDescent="0.2">
      <c r="B63" s="81" t="s">
        <v>71</v>
      </c>
      <c r="C63" s="1"/>
      <c r="D63" s="268">
        <f>900000+400000+1000000+350000+1050000+1040000</f>
        <v>4740000</v>
      </c>
      <c r="E63" s="233"/>
      <c r="F63" s="86">
        <v>4700000</v>
      </c>
      <c r="G63" s="154" t="s">
        <v>13</v>
      </c>
      <c r="H63" s="236"/>
      <c r="I63" s="284"/>
      <c r="J63" s="154"/>
      <c r="L63" s="284"/>
      <c r="M63" s="154"/>
      <c r="O63" s="284"/>
      <c r="P63" s="154"/>
      <c r="Q63" s="451"/>
      <c r="R63" s="452"/>
    </row>
    <row r="64" spans="2:18" ht="12.75" customHeight="1" x14ac:dyDescent="0.2">
      <c r="B64" s="81" t="s">
        <v>126</v>
      </c>
      <c r="C64" s="1"/>
      <c r="D64" s="268">
        <f>2350000+262931</f>
        <v>2612931</v>
      </c>
      <c r="E64" s="233"/>
      <c r="F64" s="86">
        <f>2850000-250000</f>
        <v>2600000</v>
      </c>
      <c r="G64" s="154" t="s">
        <v>13</v>
      </c>
      <c r="H64" s="236"/>
      <c r="I64" s="86"/>
      <c r="J64" s="154"/>
      <c r="L64" s="86"/>
      <c r="M64" s="154"/>
      <c r="O64" s="86"/>
      <c r="P64" s="154"/>
      <c r="Q64" s="451"/>
      <c r="R64" s="452"/>
    </row>
    <row r="65" spans="2:18" ht="12.75" customHeight="1" x14ac:dyDescent="0.2">
      <c r="B65" s="81" t="s">
        <v>138</v>
      </c>
      <c r="C65" s="1"/>
      <c r="D65" s="268">
        <v>250000</v>
      </c>
      <c r="E65" s="233"/>
      <c r="F65" s="86">
        <v>250000</v>
      </c>
      <c r="G65" s="154" t="s">
        <v>13</v>
      </c>
      <c r="H65" s="236"/>
      <c r="I65" s="86">
        <v>250000</v>
      </c>
      <c r="J65" s="154" t="s">
        <v>17</v>
      </c>
      <c r="L65" s="86">
        <v>75000</v>
      </c>
      <c r="M65" s="154" t="s">
        <v>17</v>
      </c>
      <c r="N65" s="57"/>
      <c r="O65" s="86">
        <v>250000</v>
      </c>
      <c r="P65" s="154" t="s">
        <v>17</v>
      </c>
      <c r="Q65" s="451"/>
      <c r="R65" s="452">
        <v>81</v>
      </c>
    </row>
    <row r="66" spans="2:18" ht="12.75" customHeight="1" x14ac:dyDescent="0.2">
      <c r="B66" s="81" t="s">
        <v>85</v>
      </c>
      <c r="C66" s="1"/>
      <c r="D66" s="268">
        <v>65000</v>
      </c>
      <c r="E66" s="233"/>
      <c r="F66" s="86">
        <v>65000</v>
      </c>
      <c r="G66" s="154" t="s">
        <v>13</v>
      </c>
      <c r="H66" s="236"/>
      <c r="I66" s="86"/>
      <c r="J66" s="154"/>
      <c r="L66" s="86"/>
      <c r="M66" s="154"/>
      <c r="O66" s="86"/>
      <c r="P66" s="154"/>
      <c r="Q66" s="451"/>
      <c r="R66" s="452"/>
    </row>
    <row r="67" spans="2:18" ht="12.75" customHeight="1" x14ac:dyDescent="0.2">
      <c r="B67" s="81" t="s">
        <v>85</v>
      </c>
      <c r="C67" s="1"/>
      <c r="D67" s="268">
        <v>361000</v>
      </c>
      <c r="E67" s="233"/>
      <c r="F67" s="86">
        <v>361000</v>
      </c>
      <c r="G67" s="154" t="s">
        <v>17</v>
      </c>
      <c r="H67" s="236"/>
      <c r="I67" s="86"/>
      <c r="J67" s="154"/>
      <c r="L67" s="86"/>
      <c r="M67" s="154"/>
      <c r="O67" s="86"/>
      <c r="P67" s="154"/>
      <c r="Q67" s="451"/>
      <c r="R67" s="452"/>
    </row>
    <row r="68" spans="2:18" ht="12.75" customHeight="1" x14ac:dyDescent="0.2">
      <c r="B68" s="81" t="s">
        <v>86</v>
      </c>
      <c r="C68" s="1"/>
      <c r="D68" s="268">
        <v>400000</v>
      </c>
      <c r="E68" s="233"/>
      <c r="F68" s="86">
        <v>400000</v>
      </c>
      <c r="G68" s="154" t="s">
        <v>13</v>
      </c>
      <c r="H68" s="236"/>
      <c r="I68" s="86"/>
      <c r="J68" s="154"/>
      <c r="L68" s="86"/>
      <c r="M68" s="154"/>
      <c r="O68" s="86"/>
      <c r="P68" s="154"/>
      <c r="Q68" s="451"/>
      <c r="R68" s="452"/>
    </row>
    <row r="69" spans="2:18" ht="12.75" customHeight="1" x14ac:dyDescent="0.2">
      <c r="B69" s="81" t="s">
        <v>82</v>
      </c>
      <c r="C69" s="1"/>
      <c r="D69" s="268">
        <v>300000</v>
      </c>
      <c r="E69" s="233"/>
      <c r="F69" s="86">
        <v>300000</v>
      </c>
      <c r="G69" s="154" t="s">
        <v>17</v>
      </c>
      <c r="H69" s="236"/>
      <c r="I69" s="86">
        <v>300000</v>
      </c>
      <c r="J69" s="154" t="s">
        <v>17</v>
      </c>
      <c r="L69" s="86">
        <v>300000</v>
      </c>
      <c r="M69" s="154" t="s">
        <v>17</v>
      </c>
      <c r="N69" s="57"/>
      <c r="O69" s="86">
        <v>300000</v>
      </c>
      <c r="P69" s="154" t="s">
        <v>17</v>
      </c>
      <c r="Q69" s="451">
        <v>7.17</v>
      </c>
      <c r="R69" s="452">
        <v>80</v>
      </c>
    </row>
    <row r="70" spans="2:18" ht="12.75" customHeight="1" x14ac:dyDescent="0.2">
      <c r="B70" s="81" t="s">
        <v>99</v>
      </c>
      <c r="C70" s="1"/>
      <c r="D70" s="268"/>
      <c r="E70" s="233"/>
      <c r="F70" s="86"/>
      <c r="G70" s="154"/>
      <c r="H70" s="236"/>
      <c r="I70" s="86">
        <v>1000000</v>
      </c>
      <c r="J70" s="154" t="s">
        <v>17</v>
      </c>
      <c r="L70" s="86"/>
      <c r="M70" s="154"/>
      <c r="O70" s="86"/>
      <c r="P70" s="154"/>
      <c r="Q70" s="451"/>
      <c r="R70" s="452"/>
    </row>
    <row r="71" spans="2:18" ht="12.75" customHeight="1" x14ac:dyDescent="0.2">
      <c r="B71" s="81" t="s">
        <v>127</v>
      </c>
      <c r="C71" s="1"/>
      <c r="D71" s="268"/>
      <c r="E71" s="233"/>
      <c r="F71" s="86"/>
      <c r="G71" s="154"/>
      <c r="H71" s="236"/>
      <c r="I71" s="86">
        <v>500000</v>
      </c>
      <c r="J71" s="154" t="s">
        <v>17</v>
      </c>
      <c r="L71" s="86"/>
      <c r="M71" s="154"/>
      <c r="O71" s="86">
        <v>300000</v>
      </c>
      <c r="P71" s="154" t="s">
        <v>17</v>
      </c>
      <c r="Q71" s="451">
        <v>7.34</v>
      </c>
      <c r="R71" s="452">
        <v>73</v>
      </c>
    </row>
    <row r="72" spans="2:18" ht="12.75" customHeight="1" x14ac:dyDescent="0.2">
      <c r="B72" s="81" t="s">
        <v>132</v>
      </c>
      <c r="C72" s="1"/>
      <c r="D72" s="268"/>
      <c r="E72" s="233"/>
      <c r="F72" s="86">
        <v>500000</v>
      </c>
      <c r="G72" s="154" t="s">
        <v>13</v>
      </c>
      <c r="H72" s="236"/>
      <c r="I72" s="86">
        <v>500000</v>
      </c>
      <c r="J72" s="154" t="s">
        <v>13</v>
      </c>
      <c r="L72" s="86">
        <v>1090000</v>
      </c>
      <c r="M72" s="154" t="s">
        <v>13</v>
      </c>
      <c r="N72" s="57"/>
      <c r="O72" s="86">
        <v>500000</v>
      </c>
      <c r="P72" s="154" t="s">
        <v>13</v>
      </c>
      <c r="Q72" s="451"/>
      <c r="R72" s="452">
        <v>76</v>
      </c>
    </row>
    <row r="73" spans="2:18" s="334" customFormat="1" ht="12.75" customHeight="1" x14ac:dyDescent="0.2">
      <c r="B73" s="81" t="s">
        <v>263</v>
      </c>
      <c r="C73" s="1"/>
      <c r="D73" s="268"/>
      <c r="E73" s="233"/>
      <c r="F73" s="86"/>
      <c r="G73" s="154"/>
      <c r="H73" s="236"/>
      <c r="I73" s="86"/>
      <c r="J73" s="154"/>
      <c r="L73" s="86"/>
      <c r="M73" s="154"/>
      <c r="N73" s="57"/>
      <c r="O73" s="86">
        <v>750000</v>
      </c>
      <c r="P73" s="154" t="s">
        <v>17</v>
      </c>
      <c r="Q73" s="451">
        <v>7.53</v>
      </c>
      <c r="R73" s="452">
        <v>71</v>
      </c>
    </row>
    <row r="74" spans="2:18" ht="12.75" customHeight="1" x14ac:dyDescent="0.2">
      <c r="B74" s="81" t="s">
        <v>129</v>
      </c>
      <c r="C74" s="1"/>
      <c r="D74" s="268"/>
      <c r="E74" s="233"/>
      <c r="F74" s="86">
        <v>118207</v>
      </c>
      <c r="G74" s="154" t="s">
        <v>13</v>
      </c>
      <c r="H74" s="236"/>
      <c r="I74" s="86"/>
      <c r="J74" s="154"/>
      <c r="L74" s="86"/>
      <c r="M74" s="154"/>
      <c r="O74" s="86"/>
      <c r="P74" s="154"/>
      <c r="Q74" s="451"/>
      <c r="R74" s="452"/>
    </row>
    <row r="75" spans="2:18" ht="12.75" customHeight="1" x14ac:dyDescent="0.2">
      <c r="B75" s="81" t="s">
        <v>130</v>
      </c>
      <c r="C75" s="1"/>
      <c r="D75" s="268">
        <v>1200000</v>
      </c>
      <c r="E75" s="233"/>
      <c r="F75" s="86">
        <v>880000</v>
      </c>
      <c r="G75" s="154" t="s">
        <v>13</v>
      </c>
      <c r="H75" s="236"/>
      <c r="I75" s="86">
        <v>200000</v>
      </c>
      <c r="J75" s="154" t="s">
        <v>13</v>
      </c>
      <c r="L75" s="86"/>
      <c r="M75" s="154"/>
      <c r="O75" s="86"/>
      <c r="P75" s="154"/>
      <c r="Q75" s="451"/>
      <c r="R75" s="452"/>
    </row>
    <row r="76" spans="2:18" ht="12.75" customHeight="1" x14ac:dyDescent="0.2">
      <c r="B76" s="81" t="s">
        <v>131</v>
      </c>
      <c r="C76" s="1"/>
      <c r="D76" s="268">
        <f>135000+300000</f>
        <v>435000</v>
      </c>
      <c r="E76" s="233"/>
      <c r="F76" s="86">
        <v>260000</v>
      </c>
      <c r="G76" s="154" t="s">
        <v>13</v>
      </c>
      <c r="H76" s="236"/>
      <c r="I76" s="86"/>
      <c r="J76" s="154"/>
      <c r="L76" s="86"/>
      <c r="M76" s="154"/>
      <c r="O76" s="86"/>
      <c r="P76" s="154"/>
      <c r="Q76" s="451"/>
      <c r="R76" s="452"/>
    </row>
    <row r="77" spans="2:18" ht="12.75" customHeight="1" x14ac:dyDescent="0.2">
      <c r="B77" s="79" t="s">
        <v>117</v>
      </c>
      <c r="C77" s="1"/>
      <c r="D77" s="268">
        <f>275000+250000</f>
        <v>525000</v>
      </c>
      <c r="E77" s="233"/>
      <c r="F77" s="86">
        <v>270000</v>
      </c>
      <c r="G77" s="154"/>
      <c r="H77" s="236"/>
      <c r="I77" s="86"/>
      <c r="J77" s="154"/>
      <c r="L77" s="86">
        <v>250000</v>
      </c>
      <c r="M77" s="154" t="s">
        <v>13</v>
      </c>
      <c r="N77" s="57"/>
      <c r="O77" s="86"/>
      <c r="P77" s="154"/>
      <c r="Q77" s="451"/>
      <c r="R77" s="452"/>
    </row>
    <row r="78" spans="2:18" ht="12.75" customHeight="1" x14ac:dyDescent="0.2">
      <c r="B78" s="66" t="s">
        <v>148</v>
      </c>
      <c r="C78" s="1"/>
      <c r="D78" s="268"/>
      <c r="E78" s="233"/>
      <c r="F78" s="86"/>
      <c r="G78" s="154"/>
      <c r="H78" s="236"/>
      <c r="I78" s="86"/>
      <c r="J78" s="154"/>
      <c r="L78" s="331">
        <v>1500000</v>
      </c>
      <c r="M78" s="154" t="s">
        <v>13</v>
      </c>
      <c r="N78" s="57"/>
      <c r="O78" s="331"/>
      <c r="P78" s="154"/>
      <c r="Q78" s="451"/>
      <c r="R78" s="452"/>
    </row>
    <row r="79" spans="2:18" s="57" customFormat="1" ht="12.75" customHeight="1" x14ac:dyDescent="0.2">
      <c r="B79" s="66" t="s">
        <v>148</v>
      </c>
      <c r="C79" s="31"/>
      <c r="D79" s="268"/>
      <c r="E79" s="233"/>
      <c r="F79" s="86"/>
      <c r="G79" s="154"/>
      <c r="H79" s="236"/>
      <c r="I79" s="86"/>
      <c r="J79" s="154"/>
      <c r="L79" s="331">
        <v>-7000000</v>
      </c>
      <c r="M79" s="154" t="s">
        <v>17</v>
      </c>
      <c r="O79" s="331">
        <v>-5500000</v>
      </c>
      <c r="P79" s="154" t="s">
        <v>17</v>
      </c>
      <c r="Q79" s="451"/>
      <c r="R79" s="452">
        <v>57</v>
      </c>
    </row>
    <row r="80" spans="2:18" ht="12.75" customHeight="1" x14ac:dyDescent="0.2">
      <c r="B80" s="66" t="s">
        <v>96</v>
      </c>
      <c r="C80" s="1"/>
      <c r="D80" s="268"/>
      <c r="E80" s="233"/>
      <c r="F80" s="86"/>
      <c r="G80" s="154"/>
      <c r="H80" s="236"/>
      <c r="I80" s="86">
        <f>1500000-250000</f>
        <v>1250000</v>
      </c>
      <c r="J80" s="154" t="s">
        <v>17</v>
      </c>
      <c r="L80" s="86"/>
      <c r="M80" s="154"/>
      <c r="O80" s="86">
        <v>0</v>
      </c>
      <c r="P80" s="154"/>
      <c r="Q80" s="451"/>
      <c r="R80" s="452">
        <v>75</v>
      </c>
    </row>
    <row r="81" spans="2:18" ht="12.75" customHeight="1" x14ac:dyDescent="0.2">
      <c r="B81" s="66" t="s">
        <v>98</v>
      </c>
      <c r="C81" s="1"/>
      <c r="D81" s="268"/>
      <c r="E81" s="233"/>
      <c r="F81" s="86"/>
      <c r="G81" s="154"/>
      <c r="H81" s="236"/>
      <c r="I81" s="86">
        <v>150000</v>
      </c>
      <c r="J81" s="154" t="s">
        <v>17</v>
      </c>
      <c r="L81" s="86"/>
      <c r="M81" s="154"/>
      <c r="O81" s="86">
        <v>200000</v>
      </c>
      <c r="P81" s="154" t="s">
        <v>17</v>
      </c>
      <c r="Q81" s="451"/>
      <c r="R81" s="452">
        <v>74</v>
      </c>
    </row>
    <row r="82" spans="2:18" ht="12.75" customHeight="1" x14ac:dyDescent="0.2">
      <c r="B82" s="66" t="s">
        <v>97</v>
      </c>
      <c r="C82" s="1"/>
      <c r="D82" s="268"/>
      <c r="E82" s="233"/>
      <c r="F82" s="86"/>
      <c r="G82" s="154"/>
      <c r="H82" s="236"/>
      <c r="I82" s="86">
        <v>999000</v>
      </c>
      <c r="J82" s="154" t="s">
        <v>17</v>
      </c>
      <c r="L82" s="86"/>
      <c r="M82" s="154"/>
      <c r="O82" s="86"/>
      <c r="P82" s="154"/>
      <c r="Q82" s="451"/>
      <c r="R82" s="452"/>
    </row>
    <row r="83" spans="2:18" ht="12.75" customHeight="1" x14ac:dyDescent="0.2">
      <c r="B83" s="81" t="s">
        <v>54</v>
      </c>
      <c r="C83" s="1"/>
      <c r="D83" s="268">
        <f>275000+3000000</f>
        <v>3275000</v>
      </c>
      <c r="E83" s="266"/>
      <c r="F83" s="86">
        <v>1500000</v>
      </c>
      <c r="G83" s="154" t="s">
        <v>13</v>
      </c>
      <c r="H83" s="236"/>
      <c r="I83" s="86"/>
      <c r="J83" s="154"/>
      <c r="L83" s="86">
        <v>7192</v>
      </c>
      <c r="M83" s="154" t="s">
        <v>13</v>
      </c>
      <c r="O83" s="86"/>
      <c r="P83" s="154"/>
      <c r="Q83" s="451"/>
      <c r="R83" s="452"/>
    </row>
    <row r="84" spans="2:18" ht="12.75" customHeight="1" x14ac:dyDescent="0.2">
      <c r="B84" s="81" t="s">
        <v>56</v>
      </c>
      <c r="C84" s="1"/>
      <c r="D84" s="268">
        <v>200000</v>
      </c>
      <c r="E84" s="266"/>
      <c r="F84" s="86">
        <v>300000</v>
      </c>
      <c r="G84" s="154" t="s">
        <v>13</v>
      </c>
      <c r="H84" s="236"/>
      <c r="I84" s="86">
        <v>800000</v>
      </c>
      <c r="J84" s="154" t="s">
        <v>13</v>
      </c>
      <c r="L84" s="86"/>
      <c r="M84" s="154"/>
      <c r="O84" s="86">
        <v>800000</v>
      </c>
      <c r="P84" s="154" t="s">
        <v>13</v>
      </c>
      <c r="Q84" s="451"/>
      <c r="R84" s="452">
        <v>70</v>
      </c>
    </row>
    <row r="85" spans="2:18" ht="12.75" customHeight="1" x14ac:dyDescent="0.2">
      <c r="B85" s="81" t="s">
        <v>114</v>
      </c>
      <c r="C85" s="1"/>
      <c r="D85" s="268">
        <v>300000</v>
      </c>
      <c r="E85" s="266"/>
      <c r="F85" s="86"/>
      <c r="G85" s="154"/>
      <c r="H85" s="236"/>
      <c r="I85" s="86"/>
      <c r="J85" s="154"/>
      <c r="L85" s="86"/>
      <c r="M85" s="154"/>
      <c r="O85" s="86"/>
      <c r="P85" s="154"/>
      <c r="Q85" s="451"/>
      <c r="R85" s="452"/>
    </row>
    <row r="86" spans="2:18" ht="12.75" customHeight="1" x14ac:dyDescent="0.2">
      <c r="B86" s="81" t="s">
        <v>116</v>
      </c>
      <c r="C86" s="1"/>
      <c r="D86" s="268">
        <f>150000+250000+50000</f>
        <v>450000</v>
      </c>
      <c r="E86" s="266"/>
      <c r="F86" s="86"/>
      <c r="G86" s="154"/>
      <c r="H86" s="236"/>
      <c r="I86" s="86"/>
      <c r="J86" s="154"/>
      <c r="L86" s="86"/>
      <c r="M86" s="154"/>
      <c r="O86" s="86"/>
      <c r="P86" s="154"/>
      <c r="Q86" s="451"/>
      <c r="R86" s="452"/>
    </row>
    <row r="87" spans="2:18" ht="12.75" customHeight="1" x14ac:dyDescent="0.2">
      <c r="B87" s="81" t="s">
        <v>259</v>
      </c>
      <c r="C87" s="1"/>
      <c r="D87" s="268">
        <f>150000+500000</f>
        <v>650000</v>
      </c>
      <c r="E87" s="266"/>
      <c r="F87" s="86"/>
      <c r="G87" s="154"/>
      <c r="H87" s="236"/>
      <c r="I87" s="86"/>
      <c r="J87" s="154"/>
      <c r="L87" s="86"/>
      <c r="M87" s="154"/>
      <c r="O87" s="86"/>
      <c r="P87" s="154"/>
      <c r="Q87" s="451"/>
      <c r="R87" s="452"/>
    </row>
    <row r="88" spans="2:18" ht="12.75" customHeight="1" x14ac:dyDescent="0.2">
      <c r="B88" s="324" t="s">
        <v>152</v>
      </c>
      <c r="C88" s="1"/>
      <c r="D88" s="325"/>
      <c r="E88" s="233"/>
      <c r="F88" s="99"/>
      <c r="G88" s="155"/>
      <c r="H88" s="236"/>
      <c r="I88" s="99"/>
      <c r="J88" s="155"/>
      <c r="L88" s="99">
        <f>((214070+195090+134711+112938+73853)*-1)</f>
        <v>-730662</v>
      </c>
      <c r="M88" s="155" t="s">
        <v>13</v>
      </c>
      <c r="N88" s="57"/>
      <c r="O88" s="99"/>
      <c r="P88" s="155"/>
      <c r="Q88" s="451"/>
      <c r="R88" s="452"/>
    </row>
    <row r="89" spans="2:18" ht="12.75" customHeight="1" x14ac:dyDescent="0.2">
      <c r="B89" s="324" t="s">
        <v>153</v>
      </c>
      <c r="C89" s="1"/>
      <c r="D89" s="325"/>
      <c r="E89" s="233"/>
      <c r="F89" s="99"/>
      <c r="G89" s="155"/>
      <c r="H89" s="236"/>
      <c r="I89" s="99"/>
      <c r="J89" s="155"/>
      <c r="L89" s="99">
        <f>(223187+98695+46373)*-1</f>
        <v>-368255</v>
      </c>
      <c r="M89" s="155" t="s">
        <v>13</v>
      </c>
      <c r="N89" s="57"/>
      <c r="O89" s="99"/>
      <c r="P89" s="155"/>
      <c r="Q89" s="451"/>
      <c r="R89" s="452"/>
    </row>
    <row r="90" spans="2:18" ht="12.75" customHeight="1" x14ac:dyDescent="0.2">
      <c r="B90" s="324" t="s">
        <v>154</v>
      </c>
      <c r="C90" s="1"/>
      <c r="D90" s="325"/>
      <c r="E90" s="233"/>
      <c r="F90" s="99"/>
      <c r="G90" s="155"/>
      <c r="H90" s="236"/>
      <c r="I90" s="99"/>
      <c r="J90" s="155"/>
      <c r="L90" s="99">
        <v>-34181</v>
      </c>
      <c r="M90" s="155" t="s">
        <v>13</v>
      </c>
      <c r="N90" s="57"/>
      <c r="O90" s="99"/>
      <c r="P90" s="155"/>
      <c r="Q90" s="451"/>
      <c r="R90" s="452"/>
    </row>
    <row r="91" spans="2:18" s="334" customFormat="1" ht="12.75" customHeight="1" x14ac:dyDescent="0.2">
      <c r="B91" s="324" t="s">
        <v>265</v>
      </c>
      <c r="C91" s="1"/>
      <c r="D91" s="325"/>
      <c r="E91" s="233"/>
      <c r="F91" s="99"/>
      <c r="G91" s="155"/>
      <c r="H91" s="236"/>
      <c r="I91" s="99"/>
      <c r="J91" s="155"/>
      <c r="L91" s="99"/>
      <c r="M91" s="155"/>
      <c r="N91" s="57"/>
      <c r="O91" s="99">
        <v>25000</v>
      </c>
      <c r="P91" s="155" t="s">
        <v>17</v>
      </c>
      <c r="Q91" s="451">
        <v>7.25</v>
      </c>
      <c r="R91" s="452">
        <v>83</v>
      </c>
    </row>
    <row r="92" spans="2:18" ht="6" customHeight="1" x14ac:dyDescent="0.2">
      <c r="B92" s="287"/>
      <c r="C92" s="6"/>
      <c r="D92" s="265"/>
      <c r="E92" s="37"/>
      <c r="F92" s="64"/>
      <c r="G92" s="74"/>
      <c r="H92" s="262"/>
      <c r="I92" s="64"/>
      <c r="J92" s="74"/>
      <c r="L92" s="64"/>
      <c r="M92" s="74"/>
      <c r="O92" s="64"/>
      <c r="P92" s="74"/>
      <c r="Q92" s="453"/>
      <c r="R92" s="454"/>
    </row>
    <row r="93" spans="2:18" ht="12.75" customHeight="1" x14ac:dyDescent="0.2">
      <c r="B93" s="286" t="s">
        <v>5</v>
      </c>
      <c r="C93" s="78"/>
      <c r="D93" s="72">
        <f>SUM(D62:D92)</f>
        <v>15763931</v>
      </c>
      <c r="E93" s="37"/>
      <c r="F93" s="72">
        <f>SUM(F63:F92)</f>
        <v>12504207</v>
      </c>
      <c r="G93" s="301"/>
      <c r="H93" s="159"/>
      <c r="I93" s="72">
        <f>SUM(I63:I92)</f>
        <v>5949000</v>
      </c>
      <c r="J93" s="203"/>
      <c r="L93" s="72">
        <f>SUM(L63:L92)</f>
        <v>-4910906</v>
      </c>
      <c r="M93" s="203"/>
      <c r="O93" s="72">
        <f>SUM(O63:O92)</f>
        <v>-2375000</v>
      </c>
      <c r="P93" s="203"/>
      <c r="Q93" s="443"/>
      <c r="R93" s="443"/>
    </row>
    <row r="94" spans="2:18" ht="7.5" customHeight="1" x14ac:dyDescent="0.2">
      <c r="B94" s="7"/>
      <c r="C94" s="6"/>
      <c r="D94" s="3"/>
      <c r="E94" s="37"/>
      <c r="F94" s="3"/>
      <c r="G94" s="4"/>
      <c r="H94" s="4"/>
      <c r="I94" s="3"/>
      <c r="J94" s="4"/>
      <c r="L94" s="3"/>
      <c r="M94" s="4"/>
      <c r="O94" s="3"/>
      <c r="P94" s="4"/>
      <c r="Q94" s="443"/>
      <c r="R94" s="443"/>
    </row>
    <row r="95" spans="2:18" ht="15.75" customHeight="1" x14ac:dyDescent="0.2">
      <c r="B95" s="8" t="s">
        <v>6</v>
      </c>
      <c r="C95" s="6"/>
      <c r="D95" s="3"/>
      <c r="E95" s="37"/>
      <c r="F95" s="3"/>
      <c r="G95" s="4"/>
      <c r="H95" s="4"/>
      <c r="I95" s="3"/>
      <c r="J95" s="4"/>
      <c r="L95" s="3"/>
      <c r="M95" s="4"/>
      <c r="O95" s="3"/>
      <c r="P95" s="4"/>
      <c r="Q95" s="443"/>
      <c r="R95" s="443"/>
    </row>
    <row r="96" spans="2:18" ht="15.75" customHeight="1" x14ac:dyDescent="0.2">
      <c r="B96" s="81" t="s">
        <v>100</v>
      </c>
      <c r="C96" s="6"/>
      <c r="D96" s="269"/>
      <c r="E96" s="37"/>
      <c r="F96" s="140"/>
      <c r="G96" s="153"/>
      <c r="H96" s="4"/>
      <c r="I96" s="140">
        <v>900000</v>
      </c>
      <c r="J96" s="153" t="s">
        <v>17</v>
      </c>
      <c r="L96" s="140">
        <v>1063800</v>
      </c>
      <c r="M96" s="153" t="s">
        <v>17</v>
      </c>
      <c r="N96" s="57"/>
      <c r="O96" s="140">
        <v>1063800</v>
      </c>
      <c r="P96" s="153" t="s">
        <v>17</v>
      </c>
      <c r="Q96" s="455">
        <v>7.18</v>
      </c>
      <c r="R96" s="456">
        <v>86</v>
      </c>
    </row>
    <row r="97" spans="2:18" ht="15.75" customHeight="1" x14ac:dyDescent="0.2">
      <c r="B97" s="81" t="s">
        <v>101</v>
      </c>
      <c r="C97" s="6"/>
      <c r="D97" s="270"/>
      <c r="E97" s="37"/>
      <c r="F97" s="86"/>
      <c r="G97" s="71"/>
      <c r="H97" s="4"/>
      <c r="I97" s="86">
        <v>700000</v>
      </c>
      <c r="J97" s="71" t="s">
        <v>17</v>
      </c>
      <c r="L97" s="86"/>
      <c r="M97" s="71"/>
      <c r="O97" s="86">
        <v>350000</v>
      </c>
      <c r="P97" s="71" t="s">
        <v>17</v>
      </c>
      <c r="Q97" s="451">
        <v>7.33</v>
      </c>
      <c r="R97" s="452">
        <v>91</v>
      </c>
    </row>
    <row r="98" spans="2:18" ht="15.75" customHeight="1" x14ac:dyDescent="0.2">
      <c r="B98" s="81" t="s">
        <v>102</v>
      </c>
      <c r="C98" s="6"/>
      <c r="D98" s="270"/>
      <c r="E98" s="37"/>
      <c r="F98" s="86"/>
      <c r="G98" s="71"/>
      <c r="H98" s="4"/>
      <c r="I98" s="86">
        <v>500000</v>
      </c>
      <c r="J98" s="71" t="s">
        <v>13</v>
      </c>
      <c r="L98" s="86"/>
      <c r="M98" s="71"/>
      <c r="O98" s="86">
        <v>300000</v>
      </c>
      <c r="P98" s="71" t="s">
        <v>13</v>
      </c>
      <c r="Q98" s="451"/>
      <c r="R98" s="452">
        <v>92</v>
      </c>
    </row>
    <row r="99" spans="2:18" ht="15.75" customHeight="1" x14ac:dyDescent="0.2">
      <c r="B99" s="81" t="s">
        <v>103</v>
      </c>
      <c r="C99" s="6"/>
      <c r="D99" s="270"/>
      <c r="E99" s="37"/>
      <c r="F99" s="86"/>
      <c r="G99" s="71"/>
      <c r="H99" s="4"/>
      <c r="I99" s="86">
        <v>500000</v>
      </c>
      <c r="J99" s="71" t="s">
        <v>17</v>
      </c>
      <c r="L99" s="86"/>
      <c r="M99" s="71"/>
      <c r="O99" s="86">
        <v>500000</v>
      </c>
      <c r="P99" s="71" t="s">
        <v>13</v>
      </c>
      <c r="Q99" s="451"/>
      <c r="R99" s="452">
        <v>87</v>
      </c>
    </row>
    <row r="100" spans="2:18" ht="15.75" customHeight="1" x14ac:dyDescent="0.2">
      <c r="B100" s="81" t="s">
        <v>104</v>
      </c>
      <c r="C100" s="6"/>
      <c r="D100" s="270"/>
      <c r="E100" s="37"/>
      <c r="F100" s="288"/>
      <c r="G100" s="71"/>
      <c r="H100" s="4"/>
      <c r="I100" s="86">
        <v>400000</v>
      </c>
      <c r="J100" s="71" t="s">
        <v>17</v>
      </c>
      <c r="L100" s="86"/>
      <c r="M100" s="71"/>
      <c r="O100" s="86">
        <v>400000</v>
      </c>
      <c r="P100" s="71" t="s">
        <v>17</v>
      </c>
      <c r="Q100" s="451"/>
      <c r="R100" s="452">
        <v>89</v>
      </c>
    </row>
    <row r="101" spans="2:18" ht="15.75" customHeight="1" x14ac:dyDescent="0.2">
      <c r="B101" s="81" t="s">
        <v>105</v>
      </c>
      <c r="C101" s="6"/>
      <c r="D101" s="327"/>
      <c r="E101" s="37"/>
      <c r="F101" s="328"/>
      <c r="G101" s="90"/>
      <c r="H101" s="4"/>
      <c r="I101" s="86">
        <v>360000</v>
      </c>
      <c r="J101" s="71" t="s">
        <v>17</v>
      </c>
      <c r="L101" s="99"/>
      <c r="M101" s="90"/>
      <c r="O101" s="99">
        <v>360000</v>
      </c>
      <c r="P101" s="90" t="s">
        <v>17</v>
      </c>
      <c r="Q101" s="451">
        <v>7.35</v>
      </c>
      <c r="R101" s="452">
        <v>90</v>
      </c>
    </row>
    <row r="102" spans="2:18" ht="12.75" customHeight="1" x14ac:dyDescent="0.2">
      <c r="B102" s="66" t="s">
        <v>155</v>
      </c>
      <c r="C102" s="1"/>
      <c r="D102" s="268"/>
      <c r="E102" s="233"/>
      <c r="F102" s="86"/>
      <c r="G102" s="154"/>
      <c r="H102" s="236"/>
      <c r="I102" s="86"/>
      <c r="J102" s="154"/>
      <c r="L102" s="86">
        <v>1500000</v>
      </c>
      <c r="M102" s="154" t="s">
        <v>17</v>
      </c>
      <c r="N102" s="57"/>
      <c r="O102" s="86">
        <v>1500000</v>
      </c>
      <c r="P102" s="154" t="s">
        <v>17</v>
      </c>
      <c r="Q102" s="451">
        <v>7.44</v>
      </c>
      <c r="R102" s="452">
        <v>85</v>
      </c>
    </row>
    <row r="103" spans="2:18" ht="12.75" customHeight="1" x14ac:dyDescent="0.2">
      <c r="B103" s="66" t="s">
        <v>156</v>
      </c>
      <c r="C103" s="1"/>
      <c r="D103" s="268"/>
      <c r="E103" s="233"/>
      <c r="F103" s="86"/>
      <c r="G103" s="154"/>
      <c r="H103" s="236"/>
      <c r="I103" s="86"/>
      <c r="J103" s="154"/>
      <c r="L103" s="86">
        <v>75000</v>
      </c>
      <c r="M103" s="154" t="s">
        <v>17</v>
      </c>
      <c r="N103" s="57"/>
      <c r="O103" s="86">
        <v>40000</v>
      </c>
      <c r="P103" s="154" t="s">
        <v>17</v>
      </c>
      <c r="Q103" s="451"/>
      <c r="R103" s="452">
        <v>106</v>
      </c>
    </row>
    <row r="104" spans="2:18" s="334" customFormat="1" ht="12.75" customHeight="1" x14ac:dyDescent="0.2">
      <c r="B104" s="66" t="s">
        <v>266</v>
      </c>
      <c r="C104" s="1"/>
      <c r="D104" s="325"/>
      <c r="E104" s="233"/>
      <c r="F104" s="99"/>
      <c r="G104" s="155"/>
      <c r="H104" s="73"/>
      <c r="I104" s="99"/>
      <c r="J104" s="155"/>
      <c r="L104" s="99"/>
      <c r="M104" s="155"/>
      <c r="N104" s="57"/>
      <c r="O104" s="99">
        <v>3150000</v>
      </c>
      <c r="P104" s="155" t="s">
        <v>17</v>
      </c>
      <c r="Q104" s="451"/>
      <c r="R104" s="452">
        <v>84</v>
      </c>
    </row>
    <row r="105" spans="2:18" s="334" customFormat="1" ht="12.75" customHeight="1" x14ac:dyDescent="0.2">
      <c r="B105" s="66" t="s">
        <v>267</v>
      </c>
      <c r="C105" s="1"/>
      <c r="D105" s="325"/>
      <c r="E105" s="233"/>
      <c r="F105" s="99"/>
      <c r="G105" s="155"/>
      <c r="H105" s="73"/>
      <c r="I105" s="99"/>
      <c r="J105" s="155"/>
      <c r="L105" s="99"/>
      <c r="M105" s="155"/>
      <c r="N105" s="57"/>
      <c r="O105" s="99">
        <v>500000</v>
      </c>
      <c r="P105" s="155" t="s">
        <v>17</v>
      </c>
      <c r="Q105" s="451"/>
      <c r="R105" s="452">
        <v>88</v>
      </c>
    </row>
    <row r="106" spans="2:18" s="334" customFormat="1" ht="12.75" customHeight="1" x14ac:dyDescent="0.2">
      <c r="B106" s="66" t="s">
        <v>268</v>
      </c>
      <c r="C106" s="1"/>
      <c r="D106" s="325"/>
      <c r="E106" s="233"/>
      <c r="F106" s="99"/>
      <c r="G106" s="155"/>
      <c r="H106" s="73"/>
      <c r="I106" s="99"/>
      <c r="J106" s="155"/>
      <c r="L106" s="99"/>
      <c r="M106" s="155"/>
      <c r="N106" s="57"/>
      <c r="O106" s="99">
        <v>250000</v>
      </c>
      <c r="P106" s="155" t="s">
        <v>17</v>
      </c>
      <c r="Q106" s="451"/>
      <c r="R106" s="452">
        <v>93</v>
      </c>
    </row>
    <row r="107" spans="2:18" s="334" customFormat="1" ht="12.75" customHeight="1" x14ac:dyDescent="0.2">
      <c r="B107" s="66" t="s">
        <v>269</v>
      </c>
      <c r="C107" s="1"/>
      <c r="D107" s="325"/>
      <c r="E107" s="233"/>
      <c r="F107" s="99"/>
      <c r="G107" s="155"/>
      <c r="H107" s="73"/>
      <c r="I107" s="99"/>
      <c r="J107" s="155"/>
      <c r="L107" s="99"/>
      <c r="M107" s="155"/>
      <c r="N107" s="57"/>
      <c r="O107" s="99">
        <v>150000</v>
      </c>
      <c r="P107" s="155" t="s">
        <v>17</v>
      </c>
      <c r="Q107" s="451"/>
      <c r="R107" s="452">
        <v>95</v>
      </c>
    </row>
    <row r="108" spans="2:18" s="334" customFormat="1" ht="12.75" customHeight="1" x14ac:dyDescent="0.2">
      <c r="B108" s="66" t="s">
        <v>270</v>
      </c>
      <c r="C108" s="1"/>
      <c r="D108" s="325"/>
      <c r="E108" s="233"/>
      <c r="F108" s="99"/>
      <c r="G108" s="155"/>
      <c r="H108" s="73"/>
      <c r="I108" s="99"/>
      <c r="J108" s="155"/>
      <c r="L108" s="99"/>
      <c r="M108" s="155"/>
      <c r="N108" s="57"/>
      <c r="O108" s="99">
        <v>125000</v>
      </c>
      <c r="P108" s="155" t="s">
        <v>17</v>
      </c>
      <c r="Q108" s="451"/>
      <c r="R108" s="452">
        <v>96</v>
      </c>
    </row>
    <row r="109" spans="2:18" s="334" customFormat="1" ht="12.75" customHeight="1" x14ac:dyDescent="0.2">
      <c r="B109" s="66" t="s">
        <v>271</v>
      </c>
      <c r="C109" s="1"/>
      <c r="D109" s="325"/>
      <c r="E109" s="233"/>
      <c r="F109" s="99"/>
      <c r="G109" s="155"/>
      <c r="H109" s="73"/>
      <c r="I109" s="99"/>
      <c r="J109" s="155"/>
      <c r="L109" s="99"/>
      <c r="M109" s="155"/>
      <c r="N109" s="57"/>
      <c r="O109" s="99">
        <v>125000</v>
      </c>
      <c r="P109" s="155" t="s">
        <v>17</v>
      </c>
      <c r="Q109" s="451"/>
      <c r="R109" s="452">
        <v>97</v>
      </c>
    </row>
    <row r="110" spans="2:18" s="334" customFormat="1" ht="12.75" customHeight="1" x14ac:dyDescent="0.2">
      <c r="B110" s="66" t="s">
        <v>272</v>
      </c>
      <c r="C110" s="1"/>
      <c r="D110" s="325"/>
      <c r="E110" s="233"/>
      <c r="F110" s="99"/>
      <c r="G110" s="155"/>
      <c r="H110" s="73"/>
      <c r="I110" s="99"/>
      <c r="J110" s="155"/>
      <c r="L110" s="99"/>
      <c r="M110" s="155"/>
      <c r="N110" s="57"/>
      <c r="O110" s="99">
        <v>100000</v>
      </c>
      <c r="P110" s="155" t="s">
        <v>17</v>
      </c>
      <c r="Q110" s="451"/>
      <c r="R110" s="452">
        <v>98</v>
      </c>
    </row>
    <row r="111" spans="2:18" s="334" customFormat="1" ht="12.75" customHeight="1" x14ac:dyDescent="0.2">
      <c r="B111" s="66" t="s">
        <v>273</v>
      </c>
      <c r="C111" s="1"/>
      <c r="D111" s="325"/>
      <c r="E111" s="233"/>
      <c r="F111" s="99"/>
      <c r="G111" s="155"/>
      <c r="H111" s="73"/>
      <c r="I111" s="99"/>
      <c r="J111" s="155"/>
      <c r="L111" s="99"/>
      <c r="M111" s="155"/>
      <c r="N111" s="57"/>
      <c r="O111" s="99">
        <v>100000</v>
      </c>
      <c r="P111" s="155" t="s">
        <v>17</v>
      </c>
      <c r="Q111" s="451"/>
      <c r="R111" s="452">
        <v>99</v>
      </c>
    </row>
    <row r="112" spans="2:18" s="334" customFormat="1" ht="12.75" customHeight="1" x14ac:dyDescent="0.2">
      <c r="B112" s="66" t="s">
        <v>274</v>
      </c>
      <c r="C112" s="1"/>
      <c r="D112" s="325"/>
      <c r="E112" s="233"/>
      <c r="F112" s="99"/>
      <c r="G112" s="155"/>
      <c r="H112" s="73"/>
      <c r="I112" s="99"/>
      <c r="J112" s="155"/>
      <c r="L112" s="99"/>
      <c r="M112" s="155"/>
      <c r="N112" s="57"/>
      <c r="O112" s="99">
        <v>100000</v>
      </c>
      <c r="P112" s="155" t="s">
        <v>17</v>
      </c>
      <c r="Q112" s="451"/>
      <c r="R112" s="452">
        <v>100</v>
      </c>
    </row>
    <row r="113" spans="2:18" s="334" customFormat="1" ht="12.75" customHeight="1" x14ac:dyDescent="0.2">
      <c r="B113" s="66" t="s">
        <v>289</v>
      </c>
      <c r="C113" s="1"/>
      <c r="D113" s="325"/>
      <c r="E113" s="233"/>
      <c r="F113" s="99"/>
      <c r="G113" s="155"/>
      <c r="H113" s="73"/>
      <c r="I113" s="99"/>
      <c r="J113" s="155"/>
      <c r="L113" s="99"/>
      <c r="M113" s="155"/>
      <c r="N113" s="57"/>
      <c r="O113" s="99">
        <v>100000</v>
      </c>
      <c r="P113" s="155" t="s">
        <v>17</v>
      </c>
      <c r="Q113" s="451"/>
      <c r="R113" s="452">
        <v>101</v>
      </c>
    </row>
    <row r="114" spans="2:18" s="334" customFormat="1" ht="12.75" customHeight="1" x14ac:dyDescent="0.2">
      <c r="B114" s="66" t="s">
        <v>288</v>
      </c>
      <c r="C114" s="1"/>
      <c r="D114" s="325"/>
      <c r="E114" s="233"/>
      <c r="F114" s="99"/>
      <c r="G114" s="155"/>
      <c r="H114" s="73"/>
      <c r="I114" s="99"/>
      <c r="J114" s="155"/>
      <c r="L114" s="99"/>
      <c r="M114" s="155"/>
      <c r="N114" s="57"/>
      <c r="O114" s="99">
        <v>93000</v>
      </c>
      <c r="P114" s="155" t="s">
        <v>17</v>
      </c>
      <c r="Q114" s="451"/>
      <c r="R114" s="452">
        <v>102</v>
      </c>
    </row>
    <row r="115" spans="2:18" s="334" customFormat="1" ht="12.75" customHeight="1" x14ac:dyDescent="0.2">
      <c r="B115" s="66" t="s">
        <v>275</v>
      </c>
      <c r="C115" s="1"/>
      <c r="D115" s="325"/>
      <c r="E115" s="233"/>
      <c r="F115" s="99"/>
      <c r="G115" s="155"/>
      <c r="H115" s="73"/>
      <c r="I115" s="99"/>
      <c r="J115" s="155"/>
      <c r="L115" s="99"/>
      <c r="M115" s="155"/>
      <c r="N115" s="57"/>
      <c r="O115" s="99">
        <v>50000</v>
      </c>
      <c r="P115" s="155" t="s">
        <v>17</v>
      </c>
      <c r="Q115" s="451"/>
      <c r="R115" s="452">
        <v>103</v>
      </c>
    </row>
    <row r="116" spans="2:18" s="334" customFormat="1" ht="12.75" customHeight="1" x14ac:dyDescent="0.2">
      <c r="B116" s="66" t="s">
        <v>276</v>
      </c>
      <c r="C116" s="1"/>
      <c r="D116" s="325"/>
      <c r="E116" s="233"/>
      <c r="F116" s="99"/>
      <c r="G116" s="155"/>
      <c r="H116" s="73"/>
      <c r="I116" s="99"/>
      <c r="J116" s="155"/>
      <c r="L116" s="99"/>
      <c r="M116" s="155"/>
      <c r="N116" s="57"/>
      <c r="O116" s="99">
        <v>50000</v>
      </c>
      <c r="P116" s="155" t="s">
        <v>17</v>
      </c>
      <c r="Q116" s="451"/>
      <c r="R116" s="452">
        <v>104</v>
      </c>
    </row>
    <row r="117" spans="2:18" s="334" customFormat="1" ht="12.75" customHeight="1" x14ac:dyDescent="0.2">
      <c r="B117" s="66" t="s">
        <v>277</v>
      </c>
      <c r="C117" s="1"/>
      <c r="D117" s="325"/>
      <c r="E117" s="233"/>
      <c r="F117" s="99"/>
      <c r="G117" s="155"/>
      <c r="H117" s="73"/>
      <c r="I117" s="99"/>
      <c r="J117" s="155"/>
      <c r="L117" s="99"/>
      <c r="M117" s="155"/>
      <c r="N117" s="57"/>
      <c r="O117" s="99">
        <v>50000</v>
      </c>
      <c r="P117" s="155" t="s">
        <v>17</v>
      </c>
      <c r="Q117" s="451"/>
      <c r="R117" s="452">
        <v>105</v>
      </c>
    </row>
    <row r="118" spans="2:18" s="334" customFormat="1" ht="12.75" customHeight="1" x14ac:dyDescent="0.2">
      <c r="B118" s="66" t="s">
        <v>278</v>
      </c>
      <c r="C118" s="1"/>
      <c r="D118" s="325"/>
      <c r="E118" s="233"/>
      <c r="F118" s="99"/>
      <c r="G118" s="155"/>
      <c r="H118" s="73"/>
      <c r="I118" s="99"/>
      <c r="J118" s="155"/>
      <c r="L118" s="99"/>
      <c r="M118" s="155"/>
      <c r="N118" s="57"/>
      <c r="O118" s="99">
        <v>25000</v>
      </c>
      <c r="P118" s="155" t="s">
        <v>17</v>
      </c>
      <c r="Q118" s="451"/>
      <c r="R118" s="452">
        <v>107</v>
      </c>
    </row>
    <row r="119" spans="2:18" s="334" customFormat="1" ht="12.75" customHeight="1" x14ac:dyDescent="0.2">
      <c r="B119" s="66" t="s">
        <v>279</v>
      </c>
      <c r="C119" s="1"/>
      <c r="D119" s="325"/>
      <c r="E119" s="233"/>
      <c r="F119" s="99"/>
      <c r="G119" s="155"/>
      <c r="H119" s="73"/>
      <c r="I119" s="99"/>
      <c r="J119" s="155"/>
      <c r="L119" s="99"/>
      <c r="M119" s="155"/>
      <c r="N119" s="57"/>
      <c r="O119" s="99">
        <v>15000</v>
      </c>
      <c r="P119" s="155" t="s">
        <v>17</v>
      </c>
      <c r="Q119" s="451"/>
      <c r="R119" s="452">
        <v>108</v>
      </c>
    </row>
    <row r="120" spans="2:18" s="334" customFormat="1" ht="12.75" customHeight="1" x14ac:dyDescent="0.2">
      <c r="B120" s="66" t="s">
        <v>280</v>
      </c>
      <c r="C120" s="1"/>
      <c r="D120" s="325"/>
      <c r="E120" s="233"/>
      <c r="F120" s="99"/>
      <c r="G120" s="155"/>
      <c r="H120" s="73"/>
      <c r="I120" s="99"/>
      <c r="J120" s="155"/>
      <c r="L120" s="99"/>
      <c r="M120" s="155"/>
      <c r="N120" s="57"/>
      <c r="O120" s="99">
        <v>15000</v>
      </c>
      <c r="P120" s="155" t="s">
        <v>17</v>
      </c>
      <c r="Q120" s="451"/>
      <c r="R120" s="452">
        <v>109</v>
      </c>
    </row>
    <row r="121" spans="2:18" s="334" customFormat="1" ht="12.75" customHeight="1" x14ac:dyDescent="0.2">
      <c r="B121" s="66" t="s">
        <v>281</v>
      </c>
      <c r="C121" s="1"/>
      <c r="D121" s="325"/>
      <c r="E121" s="233"/>
      <c r="F121" s="99"/>
      <c r="G121" s="155"/>
      <c r="H121" s="73"/>
      <c r="I121" s="99"/>
      <c r="J121" s="155"/>
      <c r="L121" s="99"/>
      <c r="M121" s="155"/>
      <c r="N121" s="57"/>
      <c r="O121" s="99">
        <v>10000</v>
      </c>
      <c r="P121" s="155" t="s">
        <v>17</v>
      </c>
      <c r="Q121" s="451"/>
      <c r="R121" s="452">
        <v>110</v>
      </c>
    </row>
    <row r="122" spans="2:18" s="334" customFormat="1" ht="12.75" customHeight="1" x14ac:dyDescent="0.2">
      <c r="B122" s="66" t="s">
        <v>282</v>
      </c>
      <c r="C122" s="1"/>
      <c r="D122" s="325"/>
      <c r="E122" s="233"/>
      <c r="F122" s="99"/>
      <c r="G122" s="155"/>
      <c r="H122" s="73"/>
      <c r="I122" s="99"/>
      <c r="J122" s="155"/>
      <c r="L122" s="99"/>
      <c r="M122" s="155"/>
      <c r="N122" s="57"/>
      <c r="O122" s="99">
        <v>10000</v>
      </c>
      <c r="P122" s="155" t="s">
        <v>17</v>
      </c>
      <c r="Q122" s="451"/>
      <c r="R122" s="452">
        <v>111</v>
      </c>
    </row>
    <row r="123" spans="2:18" ht="15.75" customHeight="1" x14ac:dyDescent="0.2">
      <c r="B123" s="81" t="s">
        <v>250</v>
      </c>
      <c r="C123" s="6"/>
      <c r="D123" s="271"/>
      <c r="E123" s="37"/>
      <c r="F123" s="53"/>
      <c r="G123" s="74"/>
      <c r="H123" s="4"/>
      <c r="I123" s="87"/>
      <c r="J123" s="74"/>
      <c r="L123" s="87">
        <v>200000</v>
      </c>
      <c r="M123" s="74" t="s">
        <v>17</v>
      </c>
      <c r="O123" s="87">
        <v>200000</v>
      </c>
      <c r="P123" s="74" t="s">
        <v>17</v>
      </c>
      <c r="Q123" s="453">
        <v>7.49</v>
      </c>
      <c r="R123" s="454">
        <v>94</v>
      </c>
    </row>
    <row r="124" spans="2:18" ht="7.5" customHeight="1" x14ac:dyDescent="0.2">
      <c r="B124" s="83"/>
      <c r="C124" s="6"/>
      <c r="D124" s="150"/>
      <c r="E124" s="39"/>
      <c r="F124" s="150"/>
      <c r="G124" s="151"/>
      <c r="H124" s="151"/>
      <c r="I124" s="260"/>
      <c r="J124" s="153"/>
      <c r="L124" s="260"/>
      <c r="M124" s="153"/>
      <c r="O124" s="260"/>
      <c r="P124" s="153"/>
      <c r="Q124" s="443"/>
      <c r="R124" s="443"/>
    </row>
    <row r="125" spans="2:18" x14ac:dyDescent="0.2">
      <c r="B125" s="83" t="s">
        <v>7</v>
      </c>
      <c r="C125" s="11"/>
      <c r="D125" s="12">
        <f>SUM(D124:D124)</f>
        <v>0</v>
      </c>
      <c r="E125" s="161"/>
      <c r="F125" s="12">
        <v>0</v>
      </c>
      <c r="G125" s="13"/>
      <c r="H125" s="161"/>
      <c r="I125" s="12">
        <f>SUM(I96:I123)</f>
        <v>3360000</v>
      </c>
      <c r="J125" s="85"/>
      <c r="L125" s="12">
        <f>SUM(L96:L123)</f>
        <v>2838800</v>
      </c>
      <c r="M125" s="85"/>
      <c r="O125" s="12">
        <f>SUM(O96:O123)</f>
        <v>9731800</v>
      </c>
      <c r="P125" s="85"/>
      <c r="Q125" s="443"/>
      <c r="R125" s="443"/>
    </row>
    <row r="126" spans="2:18" ht="6" customHeight="1" x14ac:dyDescent="0.2">
      <c r="B126" s="83"/>
      <c r="C126" s="11"/>
      <c r="D126" s="14"/>
      <c r="E126" s="13"/>
      <c r="F126" s="14"/>
      <c r="G126" s="13"/>
      <c r="H126" s="13"/>
      <c r="I126" s="14"/>
      <c r="J126" s="43"/>
      <c r="L126" s="14"/>
      <c r="M126" s="43"/>
      <c r="O126" s="14"/>
      <c r="P126" s="43"/>
      <c r="Q126" s="443"/>
      <c r="R126" s="443"/>
    </row>
    <row r="127" spans="2:18" x14ac:dyDescent="0.2">
      <c r="B127" s="83" t="s">
        <v>8</v>
      </c>
      <c r="C127" s="11"/>
      <c r="D127" s="15">
        <f>D125+D93+D59</f>
        <v>160721140</v>
      </c>
      <c r="E127" s="4"/>
      <c r="F127" s="15">
        <f>F59+F93+F652</f>
        <v>144839207</v>
      </c>
      <c r="G127" s="4"/>
      <c r="H127" s="4"/>
      <c r="I127" s="15">
        <f>I59+I93+I652+I125</f>
        <v>132503202</v>
      </c>
      <c r="J127" s="2"/>
      <c r="L127" s="15">
        <f>L59+L93+L652+L125</f>
        <v>140872564</v>
      </c>
      <c r="M127" s="2"/>
      <c r="O127" s="15">
        <f>O59+O93+O652+O125</f>
        <v>136304731</v>
      </c>
      <c r="P127" s="2"/>
      <c r="Q127" s="443"/>
      <c r="R127" s="443"/>
    </row>
    <row r="128" spans="2:18" ht="6.75" customHeight="1" x14ac:dyDescent="0.2">
      <c r="B128" s="83"/>
      <c r="C128" s="1"/>
      <c r="D128" s="10"/>
      <c r="E128" s="16"/>
      <c r="F128" s="10"/>
      <c r="G128" s="4"/>
      <c r="H128" s="16"/>
      <c r="I128" s="10"/>
      <c r="J128" s="2"/>
      <c r="L128" s="10"/>
      <c r="M128" s="2"/>
      <c r="O128" s="10"/>
      <c r="P128" s="2"/>
      <c r="Q128" s="443"/>
      <c r="R128" s="443"/>
    </row>
    <row r="129" spans="2:18" x14ac:dyDescent="0.2">
      <c r="B129" s="82" t="s">
        <v>9</v>
      </c>
      <c r="C129" s="1"/>
      <c r="D129" s="15">
        <f>D127+D9</f>
        <v>160721140</v>
      </c>
      <c r="E129" s="16"/>
      <c r="F129" s="15">
        <f>F127+F9</f>
        <v>11911779009</v>
      </c>
      <c r="G129" s="4"/>
      <c r="H129" s="16"/>
      <c r="I129" s="15">
        <f>I127+I9</f>
        <v>11899443004</v>
      </c>
      <c r="J129" s="2"/>
      <c r="L129" s="15">
        <f>L127+L9</f>
        <v>11907812366</v>
      </c>
      <c r="M129" s="2"/>
      <c r="O129" s="15">
        <f>O127+O9</f>
        <v>11903244533</v>
      </c>
      <c r="P129" s="2"/>
      <c r="Q129" s="443"/>
      <c r="R129" s="443"/>
    </row>
    <row r="130" spans="2:18" ht="6" customHeight="1" x14ac:dyDescent="0.2">
      <c r="B130" s="84"/>
      <c r="C130" s="6"/>
      <c r="D130" s="50"/>
      <c r="E130" s="49"/>
      <c r="F130" s="50"/>
      <c r="G130" s="4"/>
      <c r="H130" s="4"/>
      <c r="I130" s="50"/>
      <c r="J130" s="49"/>
      <c r="L130" s="50"/>
      <c r="M130" s="49"/>
      <c r="O130" s="50"/>
      <c r="P130" s="49"/>
      <c r="Q130" s="443"/>
      <c r="R130" s="443"/>
    </row>
    <row r="131" spans="2:18" ht="8.1" customHeight="1" thickBot="1" x14ac:dyDescent="0.25">
      <c r="B131" s="61"/>
      <c r="C131" s="17"/>
      <c r="D131" s="3"/>
      <c r="E131" s="4"/>
      <c r="F131" s="3"/>
      <c r="G131" s="62"/>
      <c r="H131" s="62"/>
      <c r="I131" s="3"/>
      <c r="J131" s="4"/>
      <c r="L131" s="3"/>
      <c r="M131" s="4"/>
      <c r="O131" s="3"/>
      <c r="P131" s="4"/>
      <c r="Q131" s="443"/>
      <c r="R131" s="443"/>
    </row>
    <row r="132" spans="2:18" ht="17.45" customHeight="1" thickBot="1" x14ac:dyDescent="0.25">
      <c r="B132" s="88" t="s">
        <v>24</v>
      </c>
      <c r="C132" s="17"/>
      <c r="D132" s="3"/>
      <c r="E132" s="4"/>
      <c r="F132" s="3"/>
      <c r="G132" s="62"/>
      <c r="H132" s="62"/>
      <c r="I132" s="3"/>
      <c r="J132" s="4"/>
      <c r="L132" s="3"/>
      <c r="M132" s="4"/>
      <c r="O132" s="3"/>
      <c r="P132" s="4"/>
      <c r="Q132" s="443"/>
      <c r="R132" s="443"/>
    </row>
    <row r="133" spans="2:18" ht="12.75" customHeight="1" x14ac:dyDescent="0.2">
      <c r="B133" s="66" t="s">
        <v>40</v>
      </c>
      <c r="C133" s="17"/>
      <c r="D133" s="112"/>
      <c r="E133" s="151"/>
      <c r="F133" s="58">
        <v>197935000</v>
      </c>
      <c r="G133" s="153" t="s">
        <v>13</v>
      </c>
      <c r="H133" s="4"/>
      <c r="I133" s="58">
        <f>390396+100265724</f>
        <v>100656120</v>
      </c>
      <c r="J133" s="153" t="s">
        <v>13</v>
      </c>
      <c r="L133" s="58">
        <f>29546538+166393</f>
        <v>29712931</v>
      </c>
      <c r="M133" s="153" t="s">
        <v>13</v>
      </c>
      <c r="O133" s="58">
        <f>43986588+215062</f>
        <v>44201650</v>
      </c>
      <c r="P133" s="153" t="s">
        <v>13</v>
      </c>
      <c r="Q133" s="455" t="s">
        <v>294</v>
      </c>
      <c r="R133" s="456" t="s">
        <v>292</v>
      </c>
    </row>
    <row r="134" spans="2:18" ht="12.75" customHeight="1" x14ac:dyDescent="0.2">
      <c r="B134" s="66" t="s">
        <v>157</v>
      </c>
      <c r="C134" s="17"/>
      <c r="D134" s="329"/>
      <c r="E134" s="4"/>
      <c r="F134" s="63"/>
      <c r="G134" s="69"/>
      <c r="H134" s="4"/>
      <c r="I134" s="63"/>
      <c r="J134" s="69"/>
      <c r="L134" s="63">
        <v>32500000</v>
      </c>
      <c r="M134" s="69" t="s">
        <v>17</v>
      </c>
      <c r="O134" s="63">
        <v>7400000</v>
      </c>
      <c r="P134" s="69" t="s">
        <v>17</v>
      </c>
      <c r="Q134" s="451" t="s">
        <v>295</v>
      </c>
      <c r="R134" s="452">
        <v>37</v>
      </c>
    </row>
    <row r="135" spans="2:18" ht="12.75" customHeight="1" x14ac:dyDescent="0.2">
      <c r="B135" s="79" t="s">
        <v>66</v>
      </c>
      <c r="C135" s="17"/>
      <c r="D135" s="264"/>
      <c r="E135" s="4"/>
      <c r="F135" s="59">
        <v>6800000</v>
      </c>
      <c r="G135" s="71" t="s">
        <v>13</v>
      </c>
      <c r="H135" s="4"/>
      <c r="I135" s="59">
        <v>8000000</v>
      </c>
      <c r="J135" s="71" t="s">
        <v>13</v>
      </c>
      <c r="L135" s="59"/>
      <c r="M135" s="71"/>
      <c r="O135" s="59"/>
      <c r="P135" s="71"/>
      <c r="Q135" s="451"/>
      <c r="R135" s="452"/>
    </row>
    <row r="136" spans="2:18" ht="12.75" customHeight="1" x14ac:dyDescent="0.2">
      <c r="B136" s="79" t="s">
        <v>261</v>
      </c>
      <c r="C136" s="17"/>
      <c r="D136" s="264"/>
      <c r="E136" s="4"/>
      <c r="F136" s="59"/>
      <c r="G136" s="71"/>
      <c r="H136" s="4"/>
      <c r="I136" s="59">
        <v>8225000</v>
      </c>
      <c r="J136" s="71" t="s">
        <v>13</v>
      </c>
      <c r="L136" s="59"/>
      <c r="M136" s="71"/>
      <c r="O136" s="59">
        <v>4000000</v>
      </c>
      <c r="P136" s="71" t="s">
        <v>13</v>
      </c>
      <c r="Q136" s="451" t="s">
        <v>296</v>
      </c>
      <c r="R136" s="452">
        <v>38</v>
      </c>
    </row>
    <row r="137" spans="2:18" ht="12.75" customHeight="1" x14ac:dyDescent="0.2">
      <c r="B137" s="79" t="s">
        <v>144</v>
      </c>
      <c r="C137" s="17"/>
      <c r="D137" s="264"/>
      <c r="E137" s="4"/>
      <c r="F137" s="59"/>
      <c r="G137" s="71"/>
      <c r="H137" s="4"/>
      <c r="I137" s="59">
        <v>1000000</v>
      </c>
      <c r="J137" s="71" t="s">
        <v>13</v>
      </c>
      <c r="L137" s="59">
        <v>1000000</v>
      </c>
      <c r="M137" s="71" t="s">
        <v>13</v>
      </c>
      <c r="O137" s="59">
        <v>1000000</v>
      </c>
      <c r="P137" s="71" t="s">
        <v>13</v>
      </c>
      <c r="Q137" s="457" t="s">
        <v>297</v>
      </c>
      <c r="R137" s="452">
        <v>39</v>
      </c>
    </row>
    <row r="138" spans="2:18" ht="12.75" customHeight="1" x14ac:dyDescent="0.2">
      <c r="B138" s="79"/>
      <c r="C138" s="17"/>
      <c r="D138" s="264"/>
      <c r="E138" s="4"/>
      <c r="F138" s="59"/>
      <c r="G138" s="71"/>
      <c r="H138" s="4"/>
      <c r="I138" s="59"/>
      <c r="J138" s="71"/>
      <c r="L138" s="59"/>
      <c r="M138" s="71"/>
      <c r="O138" s="59"/>
      <c r="P138" s="71"/>
      <c r="Q138" s="451"/>
      <c r="R138" s="452"/>
    </row>
    <row r="139" spans="2:18" ht="12.75" customHeight="1" x14ac:dyDescent="0.2">
      <c r="B139" s="79" t="s">
        <v>143</v>
      </c>
      <c r="C139" s="17"/>
      <c r="D139" s="264"/>
      <c r="E139" s="4"/>
      <c r="F139" s="59">
        <f>5625000+4972000</f>
        <v>10597000</v>
      </c>
      <c r="G139" s="71" t="s">
        <v>13</v>
      </c>
      <c r="H139" s="4"/>
      <c r="I139" s="59">
        <v>16000000</v>
      </c>
      <c r="J139" s="71" t="s">
        <v>13</v>
      </c>
      <c r="L139" s="59">
        <f>15000000+850000</f>
        <v>15850000</v>
      </c>
      <c r="M139" s="71" t="s">
        <v>13</v>
      </c>
      <c r="O139" s="59">
        <f>15000000+1800000</f>
        <v>16800000</v>
      </c>
      <c r="P139" s="71" t="s">
        <v>13</v>
      </c>
      <c r="Q139" s="451" t="s">
        <v>298</v>
      </c>
      <c r="R139" s="452" t="s">
        <v>291</v>
      </c>
    </row>
    <row r="140" spans="2:18" ht="12.75" customHeight="1" x14ac:dyDescent="0.2">
      <c r="B140" s="79" t="s">
        <v>158</v>
      </c>
      <c r="C140" s="17"/>
      <c r="D140" s="264"/>
      <c r="E140" s="4"/>
      <c r="F140" s="59"/>
      <c r="G140" s="71"/>
      <c r="H140" s="4"/>
      <c r="I140" s="59"/>
      <c r="J140" s="71"/>
      <c r="L140" s="59">
        <v>1300000</v>
      </c>
      <c r="M140" s="71" t="s">
        <v>13</v>
      </c>
      <c r="O140" s="59">
        <v>1300000</v>
      </c>
      <c r="P140" s="71" t="s">
        <v>13</v>
      </c>
      <c r="Q140" s="451" t="s">
        <v>299</v>
      </c>
      <c r="R140" s="452">
        <v>41</v>
      </c>
    </row>
    <row r="141" spans="2:18" ht="12.75" customHeight="1" x14ac:dyDescent="0.2">
      <c r="B141" s="79"/>
      <c r="C141" s="17"/>
      <c r="D141" s="264"/>
      <c r="E141" s="4"/>
      <c r="F141" s="59"/>
      <c r="G141" s="71"/>
      <c r="H141" s="4"/>
      <c r="I141" s="59"/>
      <c r="J141" s="71"/>
      <c r="L141" s="59"/>
      <c r="M141" s="71"/>
      <c r="O141" s="59"/>
      <c r="P141" s="71"/>
      <c r="Q141" s="451"/>
      <c r="R141" s="452"/>
    </row>
    <row r="142" spans="2:18" ht="12.75" customHeight="1" x14ac:dyDescent="0.2">
      <c r="B142" s="79" t="s">
        <v>65</v>
      </c>
      <c r="C142" s="17"/>
      <c r="D142" s="264"/>
      <c r="E142" s="4"/>
      <c r="F142" s="59">
        <v>28065163</v>
      </c>
      <c r="G142" s="71" t="s">
        <v>13</v>
      </c>
      <c r="H142" s="4"/>
      <c r="I142" s="59"/>
      <c r="J142" s="71"/>
      <c r="L142" s="59"/>
      <c r="M142" s="71"/>
      <c r="O142" s="59"/>
      <c r="P142" s="71"/>
      <c r="Q142" s="451"/>
      <c r="R142" s="452"/>
    </row>
    <row r="143" spans="2:18" ht="12.75" customHeight="1" x14ac:dyDescent="0.2">
      <c r="B143" s="79" t="s">
        <v>64</v>
      </c>
      <c r="C143" s="17"/>
      <c r="D143" s="264"/>
      <c r="E143" s="4"/>
      <c r="F143" s="59">
        <v>21428150</v>
      </c>
      <c r="G143" s="71" t="s">
        <v>13</v>
      </c>
      <c r="H143" s="4"/>
      <c r="I143" s="59">
        <v>15460261</v>
      </c>
      <c r="J143" s="71" t="s">
        <v>13</v>
      </c>
      <c r="L143" s="59">
        <v>15418772</v>
      </c>
      <c r="M143" s="71" t="s">
        <v>13</v>
      </c>
      <c r="O143" s="59">
        <v>15418772</v>
      </c>
      <c r="P143" s="71" t="s">
        <v>13</v>
      </c>
      <c r="Q143" s="451" t="s">
        <v>300</v>
      </c>
      <c r="R143" s="452">
        <v>43</v>
      </c>
    </row>
    <row r="144" spans="2:18" ht="12.75" customHeight="1" x14ac:dyDescent="0.2">
      <c r="B144" s="79" t="s">
        <v>28</v>
      </c>
      <c r="C144" s="17"/>
      <c r="D144" s="264"/>
      <c r="E144" s="4"/>
      <c r="F144" s="59">
        <v>75967022</v>
      </c>
      <c r="G144" s="71" t="s">
        <v>13</v>
      </c>
      <c r="H144" s="4"/>
      <c r="I144" s="289">
        <v>73144363</v>
      </c>
      <c r="J144" s="71" t="s">
        <v>13</v>
      </c>
      <c r="L144" s="289">
        <v>79065312</v>
      </c>
      <c r="M144" s="71" t="s">
        <v>13</v>
      </c>
      <c r="O144" s="289">
        <v>75775896</v>
      </c>
      <c r="P144" s="71" t="s">
        <v>13</v>
      </c>
      <c r="Q144" s="451"/>
      <c r="R144" s="452">
        <v>46</v>
      </c>
    </row>
    <row r="145" spans="2:21" ht="12.75" customHeight="1" x14ac:dyDescent="0.2">
      <c r="B145" s="79" t="s">
        <v>28</v>
      </c>
      <c r="C145" s="17"/>
      <c r="D145" s="264"/>
      <c r="E145" s="4"/>
      <c r="F145" s="59">
        <v>43047979</v>
      </c>
      <c r="G145" s="71" t="s">
        <v>17</v>
      </c>
      <c r="H145" s="4"/>
      <c r="I145" s="59"/>
      <c r="J145" s="71"/>
      <c r="L145" s="59"/>
      <c r="M145" s="71"/>
      <c r="O145" s="59">
        <v>10197180</v>
      </c>
      <c r="P145" s="71" t="s">
        <v>17</v>
      </c>
      <c r="Q145" s="451"/>
      <c r="R145" s="452">
        <v>46</v>
      </c>
    </row>
    <row r="146" spans="2:21" ht="12.75" customHeight="1" x14ac:dyDescent="0.2">
      <c r="B146" s="79" t="s">
        <v>31</v>
      </c>
      <c r="C146" s="17"/>
      <c r="D146" s="264"/>
      <c r="E146" s="4"/>
      <c r="F146" s="59">
        <v>36790077</v>
      </c>
      <c r="G146" s="71" t="s">
        <v>13</v>
      </c>
      <c r="H146" s="4"/>
      <c r="I146" s="59">
        <v>24440134</v>
      </c>
      <c r="J146" s="71" t="s">
        <v>13</v>
      </c>
      <c r="L146" s="59">
        <v>37897676</v>
      </c>
      <c r="M146" s="71" t="s">
        <v>13</v>
      </c>
      <c r="O146" s="59">
        <v>31246247</v>
      </c>
      <c r="P146" s="71" t="s">
        <v>13</v>
      </c>
      <c r="Q146" s="451"/>
      <c r="R146" s="452">
        <v>48</v>
      </c>
    </row>
    <row r="147" spans="2:21" ht="12.75" customHeight="1" x14ac:dyDescent="0.2">
      <c r="B147" s="66" t="s">
        <v>145</v>
      </c>
      <c r="C147" s="17"/>
      <c r="D147" s="264"/>
      <c r="E147" s="4"/>
      <c r="F147" s="59"/>
      <c r="G147" s="71"/>
      <c r="H147" s="4"/>
      <c r="I147" s="59">
        <v>3289417</v>
      </c>
      <c r="J147" s="71" t="s">
        <v>13</v>
      </c>
      <c r="L147" s="59">
        <v>3289417</v>
      </c>
      <c r="M147" s="71" t="s">
        <v>13</v>
      </c>
      <c r="O147" s="59">
        <v>3289417</v>
      </c>
      <c r="P147" s="71" t="s">
        <v>13</v>
      </c>
      <c r="Q147" s="451"/>
      <c r="R147" s="452">
        <v>50</v>
      </c>
    </row>
    <row r="148" spans="2:21" ht="12.75" customHeight="1" x14ac:dyDescent="0.2">
      <c r="B148" s="66"/>
      <c r="C148" s="17"/>
      <c r="D148" s="264"/>
      <c r="E148" s="4"/>
      <c r="F148" s="59"/>
      <c r="G148" s="71"/>
      <c r="H148" s="4"/>
      <c r="I148" s="59"/>
      <c r="J148" s="71"/>
      <c r="L148" s="59"/>
      <c r="M148" s="71"/>
      <c r="O148" s="59"/>
      <c r="P148" s="71"/>
      <c r="Q148" s="451"/>
      <c r="R148" s="452"/>
    </row>
    <row r="149" spans="2:21" ht="12.75" customHeight="1" x14ac:dyDescent="0.2">
      <c r="B149" s="81" t="s">
        <v>45</v>
      </c>
      <c r="C149" s="75"/>
      <c r="D149" s="268"/>
      <c r="E149" s="234"/>
      <c r="F149" s="86">
        <v>1312954</v>
      </c>
      <c r="G149" s="154" t="s">
        <v>13</v>
      </c>
      <c r="H149" s="73"/>
      <c r="I149" s="86">
        <v>300525</v>
      </c>
      <c r="J149" s="71" t="s">
        <v>13</v>
      </c>
      <c r="L149" s="86">
        <v>1373857</v>
      </c>
      <c r="M149" s="71" t="s">
        <v>13</v>
      </c>
      <c r="O149" s="86">
        <v>1373857</v>
      </c>
      <c r="P149" s="71" t="s">
        <v>13</v>
      </c>
      <c r="Q149" s="451"/>
      <c r="R149" s="452">
        <v>44</v>
      </c>
    </row>
    <row r="150" spans="2:21" ht="12.75" customHeight="1" x14ac:dyDescent="0.2">
      <c r="B150" s="81" t="s">
        <v>29</v>
      </c>
      <c r="C150" s="75"/>
      <c r="D150" s="268"/>
      <c r="E150" s="235"/>
      <c r="F150" s="86">
        <v>522545</v>
      </c>
      <c r="G150" s="154" t="s">
        <v>13</v>
      </c>
      <c r="H150" s="73"/>
      <c r="I150" s="99">
        <v>483354</v>
      </c>
      <c r="J150" s="155" t="s">
        <v>13</v>
      </c>
      <c r="L150" s="99">
        <v>522545</v>
      </c>
      <c r="M150" s="155" t="s">
        <v>13</v>
      </c>
      <c r="O150" s="99">
        <v>500772</v>
      </c>
      <c r="P150" s="155" t="s">
        <v>13</v>
      </c>
      <c r="Q150" s="451"/>
      <c r="R150" s="452">
        <v>47</v>
      </c>
    </row>
    <row r="151" spans="2:21" ht="12.75" customHeight="1" x14ac:dyDescent="0.2">
      <c r="B151" s="81" t="s">
        <v>29</v>
      </c>
      <c r="C151" s="75"/>
      <c r="D151" s="268"/>
      <c r="E151" s="235"/>
      <c r="F151" s="86">
        <v>296109</v>
      </c>
      <c r="G151" s="154" t="s">
        <v>17</v>
      </c>
      <c r="H151" s="73"/>
      <c r="I151" s="99"/>
      <c r="J151" s="155"/>
      <c r="L151" s="99"/>
      <c r="M151" s="155"/>
      <c r="O151" s="99">
        <v>67496</v>
      </c>
      <c r="P151" s="155" t="s">
        <v>17</v>
      </c>
      <c r="Q151" s="451"/>
      <c r="R151" s="452">
        <v>47</v>
      </c>
    </row>
    <row r="152" spans="2:21" ht="12.75" customHeight="1" x14ac:dyDescent="0.2">
      <c r="B152" s="81" t="s">
        <v>30</v>
      </c>
      <c r="C152" s="75"/>
      <c r="D152" s="325"/>
      <c r="E152" s="235"/>
      <c r="F152" s="99">
        <v>178934</v>
      </c>
      <c r="G152" s="155" t="s">
        <v>13</v>
      </c>
      <c r="H152" s="73"/>
      <c r="I152" s="99">
        <v>115394</v>
      </c>
      <c r="J152" s="155" t="s">
        <v>13</v>
      </c>
      <c r="L152" s="99">
        <v>178934</v>
      </c>
      <c r="M152" s="155" t="s">
        <v>13</v>
      </c>
      <c r="O152" s="99">
        <v>147529</v>
      </c>
      <c r="P152" s="155" t="s">
        <v>13</v>
      </c>
      <c r="Q152" s="451"/>
      <c r="R152" s="452">
        <v>49</v>
      </c>
    </row>
    <row r="153" spans="2:21" ht="12.75" customHeight="1" x14ac:dyDescent="0.2">
      <c r="B153" s="324" t="s">
        <v>146</v>
      </c>
      <c r="C153" s="1"/>
      <c r="D153" s="272"/>
      <c r="E153" s="233"/>
      <c r="F153" s="87"/>
      <c r="G153" s="156"/>
      <c r="H153" s="73"/>
      <c r="I153" s="87">
        <v>21773</v>
      </c>
      <c r="J153" s="156" t="s">
        <v>13</v>
      </c>
      <c r="L153" s="87">
        <v>21773</v>
      </c>
      <c r="M153" s="156" t="s">
        <v>13</v>
      </c>
      <c r="O153" s="87">
        <v>21773</v>
      </c>
      <c r="P153" s="156" t="s">
        <v>13</v>
      </c>
      <c r="Q153" s="453"/>
      <c r="R153" s="454">
        <v>51</v>
      </c>
    </row>
    <row r="154" spans="2:21" ht="14.45" customHeight="1" x14ac:dyDescent="0.2">
      <c r="B154" s="82" t="s">
        <v>25</v>
      </c>
      <c r="C154" s="17"/>
      <c r="D154" s="72">
        <f>SUM(D133:D152)</f>
        <v>0</v>
      </c>
      <c r="E154" s="4"/>
      <c r="F154" s="72">
        <f>SUM(F133:F152)</f>
        <v>422940933</v>
      </c>
      <c r="G154" s="163"/>
      <c r="H154" s="142"/>
      <c r="I154" s="72">
        <f>SUM(I133:I153)</f>
        <v>251136341</v>
      </c>
      <c r="J154" s="152"/>
      <c r="L154" s="72">
        <f>SUM(L133:L153)</f>
        <v>218131217</v>
      </c>
      <c r="M154" s="152"/>
      <c r="O154" s="72">
        <f>SUM(O133:O153)</f>
        <v>212740589</v>
      </c>
      <c r="P154" s="152"/>
      <c r="Q154" s="443"/>
      <c r="R154" s="443"/>
    </row>
    <row r="155" spans="2:21" ht="12.75" customHeight="1" x14ac:dyDescent="0.2">
      <c r="B155" s="7"/>
      <c r="C155" s="17"/>
      <c r="D155" s="3"/>
      <c r="E155" s="4"/>
      <c r="F155" s="3"/>
      <c r="G155" s="142"/>
      <c r="H155" s="142"/>
      <c r="I155" s="3"/>
      <c r="J155" s="4"/>
      <c r="L155" s="3"/>
      <c r="M155" s="4"/>
      <c r="O155" s="3"/>
      <c r="P155" s="4"/>
      <c r="Q155" s="443"/>
      <c r="R155" s="443"/>
    </row>
    <row r="156" spans="2:21" ht="12.75" customHeight="1" x14ac:dyDescent="0.2">
      <c r="B156" s="7" t="s">
        <v>41</v>
      </c>
      <c r="C156" s="17"/>
      <c r="D156" s="3">
        <f>D154+D129</f>
        <v>160721140</v>
      </c>
      <c r="E156" s="4"/>
      <c r="F156" s="3">
        <f>F154+F129</f>
        <v>12334719942</v>
      </c>
      <c r="G156" s="142"/>
      <c r="H156" s="142"/>
      <c r="I156" s="3">
        <f>I154+I129</f>
        <v>12150579345</v>
      </c>
      <c r="J156" s="4"/>
      <c r="L156" s="3">
        <f>L154+L129</f>
        <v>12125943583</v>
      </c>
      <c r="M156" s="4"/>
      <c r="N156" s="257"/>
      <c r="O156" s="3">
        <f>O154+O129</f>
        <v>12115985122</v>
      </c>
      <c r="P156" s="4"/>
      <c r="Q156" s="444"/>
      <c r="R156" s="444"/>
    </row>
    <row r="157" spans="2:21" ht="12.75" customHeight="1" x14ac:dyDescent="0.2">
      <c r="B157" s="7"/>
      <c r="C157" s="17"/>
      <c r="D157" s="3"/>
      <c r="E157" s="4"/>
      <c r="F157" s="3"/>
      <c r="G157" s="142"/>
      <c r="H157" s="142"/>
      <c r="I157" s="3"/>
      <c r="J157" s="4"/>
      <c r="L157" s="3"/>
      <c r="M157" s="4"/>
      <c r="N157" s="55"/>
      <c r="O157" s="3"/>
      <c r="P157" s="4"/>
      <c r="Q157" s="444"/>
      <c r="R157" s="443"/>
      <c r="T157" s="55"/>
      <c r="U157" s="55"/>
    </row>
    <row r="158" spans="2:21" x14ac:dyDescent="0.2">
      <c r="B158" s="18" t="s">
        <v>251</v>
      </c>
      <c r="C158" s="1"/>
      <c r="D158" s="3"/>
      <c r="E158" s="37"/>
      <c r="F158" s="3"/>
      <c r="G158" s="4"/>
      <c r="H158" s="4"/>
      <c r="I158" s="3"/>
      <c r="J158" s="4"/>
      <c r="L158" s="3"/>
      <c r="M158" s="4"/>
      <c r="O158" s="3"/>
      <c r="P158" s="4"/>
      <c r="Q158" s="446"/>
      <c r="R158" s="443"/>
      <c r="T158" s="55"/>
    </row>
    <row r="159" spans="2:21" x14ac:dyDescent="0.2">
      <c r="B159" s="256" t="s">
        <v>84</v>
      </c>
      <c r="C159" s="67"/>
      <c r="D159" s="141">
        <v>30000000</v>
      </c>
      <c r="E159" s="37"/>
      <c r="F159" s="141">
        <v>20000000</v>
      </c>
      <c r="G159" s="323" t="s">
        <v>139</v>
      </c>
      <c r="H159" s="4"/>
      <c r="I159" s="141">
        <f>12000000+39000000</f>
        <v>51000000</v>
      </c>
      <c r="J159" s="323" t="s">
        <v>140</v>
      </c>
      <c r="L159" s="141">
        <v>12000000</v>
      </c>
      <c r="M159" s="323" t="s">
        <v>17</v>
      </c>
      <c r="N159" s="326"/>
      <c r="O159" s="141">
        <v>12000000</v>
      </c>
      <c r="P159" s="323" t="s">
        <v>17</v>
      </c>
      <c r="Q159" s="458"/>
      <c r="R159" s="459">
        <v>77</v>
      </c>
      <c r="T159" s="55"/>
    </row>
    <row r="160" spans="2:21" ht="10.5" customHeight="1" x14ac:dyDescent="0.2">
      <c r="B160" s="256"/>
      <c r="C160" s="67"/>
      <c r="D160" s="141"/>
      <c r="E160" s="37"/>
      <c r="F160" s="141"/>
      <c r="G160" s="4"/>
      <c r="H160" s="4"/>
      <c r="I160" s="3"/>
      <c r="J160" s="4"/>
      <c r="L160" s="3"/>
      <c r="M160" s="4"/>
      <c r="O160" s="3"/>
      <c r="P160" s="4"/>
      <c r="Q160" s="443"/>
      <c r="R160" s="443"/>
    </row>
    <row r="161" spans="2:21" x14ac:dyDescent="0.2">
      <c r="B161" s="112" t="s">
        <v>119</v>
      </c>
      <c r="C161" s="1"/>
      <c r="D161" s="150"/>
      <c r="E161" s="37"/>
      <c r="F161" s="68"/>
      <c r="G161" s="153"/>
      <c r="H161" s="4"/>
      <c r="I161" s="58">
        <v>15900000</v>
      </c>
      <c r="J161" s="153" t="s">
        <v>13</v>
      </c>
      <c r="L161" s="58">
        <f>15000000+25000000+15000000</f>
        <v>55000000</v>
      </c>
      <c r="M161" s="153" t="s">
        <v>17</v>
      </c>
      <c r="N161" s="57"/>
      <c r="O161" s="58">
        <v>40000000</v>
      </c>
      <c r="P161" s="153" t="s">
        <v>17</v>
      </c>
      <c r="Q161" s="455"/>
      <c r="R161" s="456">
        <v>54</v>
      </c>
    </row>
    <row r="162" spans="2:21" s="334" customFormat="1" x14ac:dyDescent="0.2">
      <c r="B162" s="434"/>
      <c r="C162" s="1"/>
      <c r="D162" s="435"/>
      <c r="E162" s="37"/>
      <c r="F162" s="436"/>
      <c r="G162" s="437"/>
      <c r="H162" s="4"/>
      <c r="I162" s="438"/>
      <c r="J162" s="437"/>
      <c r="L162" s="438"/>
      <c r="M162" s="437"/>
      <c r="N162" s="57"/>
      <c r="O162" s="438">
        <v>30900000</v>
      </c>
      <c r="P162" s="437" t="s">
        <v>13</v>
      </c>
      <c r="Q162" s="451"/>
      <c r="R162" s="452">
        <v>54</v>
      </c>
    </row>
    <row r="163" spans="2:21" x14ac:dyDescent="0.2">
      <c r="B163" s="113" t="s">
        <v>159</v>
      </c>
      <c r="C163" s="1"/>
      <c r="D163" s="273"/>
      <c r="E163" s="37"/>
      <c r="F163" s="91"/>
      <c r="G163" s="74"/>
      <c r="H163" s="4"/>
      <c r="I163" s="167"/>
      <c r="J163" s="90"/>
      <c r="L163" s="167">
        <v>19000000</v>
      </c>
      <c r="M163" s="90" t="s">
        <v>13</v>
      </c>
      <c r="O163" s="167">
        <v>19000000</v>
      </c>
      <c r="P163" s="90" t="s">
        <v>13</v>
      </c>
      <c r="Q163" s="460"/>
      <c r="R163" s="454">
        <v>55</v>
      </c>
    </row>
    <row r="164" spans="2:21" x14ac:dyDescent="0.2">
      <c r="B164" s="139" t="s">
        <v>110</v>
      </c>
      <c r="C164" s="1"/>
      <c r="D164" s="138">
        <f>SUM(D161:D163)</f>
        <v>0</v>
      </c>
      <c r="E164" s="37"/>
      <c r="F164" s="138">
        <f>SUM(F161:F163)</f>
        <v>0</v>
      </c>
      <c r="G164" s="152"/>
      <c r="H164" s="4"/>
      <c r="I164" s="72">
        <f>I161</f>
        <v>15900000</v>
      </c>
      <c r="J164" s="152"/>
      <c r="L164" s="72">
        <f>L161+L163</f>
        <v>74000000</v>
      </c>
      <c r="M164" s="152"/>
      <c r="O164" s="72">
        <f>O161+O163+O162</f>
        <v>89900000</v>
      </c>
      <c r="P164" s="152"/>
      <c r="Q164" s="444"/>
      <c r="R164" s="443"/>
    </row>
    <row r="165" spans="2:21" ht="9.75" customHeight="1" x14ac:dyDescent="0.2">
      <c r="B165" s="61"/>
      <c r="C165" s="17"/>
      <c r="D165" s="3"/>
      <c r="E165" s="4"/>
      <c r="F165" s="3"/>
      <c r="G165" s="62"/>
      <c r="H165" s="62"/>
      <c r="I165" s="3"/>
      <c r="J165" s="4"/>
      <c r="L165" s="3"/>
      <c r="M165" s="4"/>
      <c r="O165" s="3"/>
      <c r="P165" s="4"/>
      <c r="Q165" s="443"/>
      <c r="R165" s="444"/>
    </row>
    <row r="166" spans="2:21" ht="13.5" thickBot="1" x14ac:dyDescent="0.25">
      <c r="B166" s="18" t="s">
        <v>10</v>
      </c>
      <c r="C166" s="6"/>
      <c r="D166" s="19"/>
      <c r="E166" s="20"/>
      <c r="F166" s="19">
        <f>F156-F10</f>
        <v>10154153510</v>
      </c>
      <c r="G166" s="20"/>
      <c r="H166" s="4"/>
      <c r="I166" s="19">
        <f>I156-I10-I164</f>
        <v>9954112913</v>
      </c>
      <c r="J166" s="111"/>
      <c r="L166" s="19">
        <f>L156-L10-L164+L159</f>
        <v>9883377151</v>
      </c>
      <c r="M166" s="111"/>
      <c r="O166" s="19">
        <f>O156-O10-O164+O159</f>
        <v>9857518690</v>
      </c>
      <c r="P166" s="111"/>
      <c r="Q166" s="446"/>
      <c r="R166" s="445"/>
    </row>
    <row r="167" spans="2:21" ht="8.25" customHeight="1" thickTop="1" x14ac:dyDescent="0.2">
      <c r="B167" s="21"/>
      <c r="C167" s="6"/>
      <c r="D167" s="22"/>
      <c r="E167" s="20"/>
      <c r="F167" s="22"/>
      <c r="H167" s="52"/>
      <c r="I167" s="22"/>
      <c r="L167" s="22"/>
      <c r="O167" s="22"/>
      <c r="P167" s="334"/>
      <c r="Q167" s="443"/>
      <c r="R167" s="443"/>
    </row>
    <row r="168" spans="2:21" x14ac:dyDescent="0.2">
      <c r="B168" s="23" t="s">
        <v>22</v>
      </c>
      <c r="C168" s="6"/>
      <c r="D168" s="42"/>
      <c r="E168" s="20"/>
      <c r="F168" s="42">
        <v>0.20430000000000001</v>
      </c>
      <c r="H168" s="52"/>
      <c r="I168" s="42">
        <v>0.1966</v>
      </c>
      <c r="L168" s="42">
        <v>0.19750000000000001</v>
      </c>
      <c r="O168" s="42">
        <v>0.1986</v>
      </c>
      <c r="P168" s="334"/>
      <c r="Q168" s="455">
        <v>38.22</v>
      </c>
      <c r="R168" s="456"/>
      <c r="T168" s="164"/>
      <c r="U168" s="164"/>
    </row>
    <row r="169" spans="2:21" x14ac:dyDescent="0.2">
      <c r="B169" s="24" t="s">
        <v>11</v>
      </c>
      <c r="C169" s="25"/>
      <c r="D169" s="41"/>
      <c r="E169" s="26"/>
      <c r="F169" s="41">
        <v>6349</v>
      </c>
      <c r="H169" s="52"/>
      <c r="I169" s="41">
        <v>6262</v>
      </c>
      <c r="L169" s="41">
        <v>6349</v>
      </c>
      <c r="O169" s="41">
        <v>6306</v>
      </c>
      <c r="P169" s="334"/>
      <c r="Q169" s="453">
        <v>38.22</v>
      </c>
      <c r="R169" s="454"/>
    </row>
    <row r="170" spans="2:21" x14ac:dyDescent="0.2">
      <c r="B170" s="40" t="s">
        <v>19</v>
      </c>
      <c r="C170" s="27"/>
      <c r="D170" s="45" t="s">
        <v>18</v>
      </c>
      <c r="E170" s="44"/>
      <c r="F170" s="45"/>
      <c r="G170" s="46"/>
      <c r="H170" s="162"/>
      <c r="I170" s="168"/>
      <c r="L170" s="168"/>
      <c r="O170" s="168"/>
      <c r="P170" s="334"/>
      <c r="Q170" s="443"/>
      <c r="R170" s="443"/>
      <c r="U170" s="164"/>
    </row>
    <row r="171" spans="2:21" ht="7.5" customHeight="1" x14ac:dyDescent="0.2">
      <c r="H171" s="52"/>
      <c r="L171" s="54"/>
      <c r="O171" s="335"/>
      <c r="P171" s="334"/>
      <c r="Q171" s="443"/>
      <c r="R171" s="443"/>
    </row>
    <row r="172" spans="2:21" hidden="1" x14ac:dyDescent="0.2">
      <c r="H172" s="52"/>
      <c r="L172" s="54"/>
      <c r="O172" s="335"/>
      <c r="P172" s="334"/>
      <c r="Q172" s="443"/>
      <c r="R172" s="443"/>
    </row>
    <row r="173" spans="2:21" hidden="1" x14ac:dyDescent="0.2">
      <c r="B173" s="297" t="s">
        <v>123</v>
      </c>
      <c r="D173" s="298"/>
      <c r="F173" s="298"/>
      <c r="H173" s="52"/>
      <c r="I173" s="299">
        <v>-67452612</v>
      </c>
      <c r="J173" s="300"/>
      <c r="L173" s="299"/>
      <c r="M173" s="300"/>
      <c r="O173" s="299"/>
      <c r="P173" s="300"/>
      <c r="Q173" s="443"/>
      <c r="R173" s="443"/>
    </row>
    <row r="174" spans="2:21" ht="7.5" hidden="1" customHeight="1" x14ac:dyDescent="0.2">
      <c r="H174" s="52"/>
      <c r="L174" s="54"/>
      <c r="O174" s="335"/>
      <c r="P174" s="334"/>
      <c r="Q174" s="443"/>
      <c r="R174" s="443"/>
    </row>
    <row r="175" spans="2:21" x14ac:dyDescent="0.2">
      <c r="B175" s="47"/>
      <c r="D175" s="55"/>
      <c r="F175" s="55"/>
      <c r="H175" s="52"/>
      <c r="L175" s="54"/>
      <c r="O175" s="335"/>
      <c r="P175" s="334"/>
      <c r="Q175" s="443"/>
      <c r="R175" s="443"/>
      <c r="U175" s="257"/>
    </row>
    <row r="176" spans="2:21" hidden="1" x14ac:dyDescent="0.2">
      <c r="B176" s="143" t="s">
        <v>42</v>
      </c>
      <c r="D176" s="144"/>
      <c r="F176" s="144"/>
      <c r="H176" s="52"/>
      <c r="I176" s="194"/>
      <c r="J176" s="195"/>
      <c r="L176" s="332"/>
      <c r="M176" s="195"/>
      <c r="O176" s="332"/>
      <c r="P176" s="195"/>
      <c r="Q176" s="443"/>
      <c r="R176" s="443"/>
    </row>
    <row r="177" spans="2:21" hidden="1" x14ac:dyDescent="0.2">
      <c r="B177" s="145" t="s">
        <v>43</v>
      </c>
      <c r="D177" s="146"/>
      <c r="F177" s="146"/>
      <c r="H177" s="52"/>
      <c r="I177" s="196"/>
      <c r="J177" s="197"/>
      <c r="L177" s="196"/>
      <c r="M177" s="197"/>
      <c r="O177" s="196"/>
      <c r="P177" s="197"/>
      <c r="Q177" s="443"/>
      <c r="R177" s="443"/>
      <c r="S177" s="461">
        <f>O166-9857518690</f>
        <v>0</v>
      </c>
      <c r="U177" s="164"/>
    </row>
    <row r="178" spans="2:21" hidden="1" x14ac:dyDescent="0.2">
      <c r="B178" s="204" t="s">
        <v>87</v>
      </c>
      <c r="D178" s="274"/>
      <c r="F178" s="276">
        <v>-28675000</v>
      </c>
      <c r="G178" s="202" t="s">
        <v>13</v>
      </c>
      <c r="H178" s="52"/>
      <c r="I178" s="276"/>
      <c r="J178" s="281"/>
      <c r="L178" s="276"/>
      <c r="M178" s="281"/>
      <c r="O178" s="276"/>
      <c r="P178" s="281"/>
      <c r="Q178" s="443"/>
      <c r="R178" s="443"/>
    </row>
    <row r="179" spans="2:21" hidden="1" x14ac:dyDescent="0.2">
      <c r="B179" s="204" t="s">
        <v>87</v>
      </c>
      <c r="D179" s="275"/>
      <c r="F179" s="277">
        <v>33000000</v>
      </c>
      <c r="G179" s="154" t="s">
        <v>17</v>
      </c>
      <c r="H179" s="52"/>
      <c r="I179" s="277"/>
      <c r="J179" s="282"/>
      <c r="L179" s="277"/>
      <c r="M179" s="282"/>
      <c r="O179" s="277"/>
      <c r="P179" s="282"/>
      <c r="Q179" s="443"/>
      <c r="R179" s="443"/>
    </row>
    <row r="180" spans="2:21" hidden="1" x14ac:dyDescent="0.2">
      <c r="B180" s="204" t="s">
        <v>108</v>
      </c>
      <c r="D180" s="275"/>
      <c r="F180" s="277"/>
      <c r="G180" s="278"/>
      <c r="H180" s="52"/>
      <c r="I180" s="277">
        <v>500000</v>
      </c>
      <c r="J180" s="282" t="s">
        <v>13</v>
      </c>
      <c r="L180" s="277"/>
      <c r="M180" s="282"/>
      <c r="O180" s="277">
        <v>500000</v>
      </c>
      <c r="P180" s="282" t="s">
        <v>13</v>
      </c>
      <c r="Q180" s="443"/>
      <c r="R180" s="443"/>
    </row>
    <row r="181" spans="2:21" hidden="1" x14ac:dyDescent="0.2">
      <c r="B181" s="261" t="s">
        <v>109</v>
      </c>
      <c r="D181" s="275"/>
      <c r="F181" s="277"/>
      <c r="G181" s="278"/>
      <c r="H181" s="52"/>
      <c r="I181" s="277">
        <v>2183333</v>
      </c>
      <c r="J181" s="282" t="s">
        <v>13</v>
      </c>
      <c r="L181" s="277"/>
      <c r="M181" s="282"/>
      <c r="O181" s="277">
        <v>1881861</v>
      </c>
      <c r="P181" s="282" t="s">
        <v>13</v>
      </c>
      <c r="Q181" s="443"/>
      <c r="R181" s="443"/>
    </row>
    <row r="182" spans="2:21" hidden="1" x14ac:dyDescent="0.2">
      <c r="B182" s="147"/>
      <c r="C182" s="148"/>
      <c r="D182" s="149"/>
      <c r="E182" s="148"/>
      <c r="F182" s="279"/>
      <c r="G182" s="280"/>
      <c r="H182" s="52"/>
      <c r="I182" s="279"/>
      <c r="J182" s="283"/>
      <c r="L182" s="279"/>
      <c r="M182" s="283"/>
      <c r="O182" s="279"/>
      <c r="P182" s="283"/>
      <c r="Q182" s="443"/>
      <c r="R182" s="443"/>
    </row>
    <row r="183" spans="2:21" x14ac:dyDescent="0.2">
      <c r="B183" s="253"/>
      <c r="C183" s="148"/>
      <c r="D183" s="254"/>
      <c r="E183" s="148"/>
      <c r="F183" s="254"/>
      <c r="H183" s="52"/>
      <c r="I183" s="254"/>
      <c r="J183" s="255"/>
      <c r="L183" s="254"/>
      <c r="M183" s="255"/>
      <c r="Q183" s="443"/>
      <c r="R183" s="443"/>
    </row>
    <row r="184" spans="2:21" x14ac:dyDescent="0.2">
      <c r="B184" s="36" t="s">
        <v>14</v>
      </c>
      <c r="D184" s="431" t="s">
        <v>254</v>
      </c>
      <c r="E184" s="429"/>
      <c r="F184" s="429"/>
      <c r="G184" s="429"/>
      <c r="H184" s="429"/>
      <c r="I184" s="429"/>
      <c r="J184" s="429"/>
      <c r="K184" s="429"/>
      <c r="L184" s="429"/>
      <c r="Q184" s="443"/>
      <c r="R184" s="443"/>
    </row>
    <row r="185" spans="2:21" x14ac:dyDescent="0.2">
      <c r="B185" s="36" t="s">
        <v>141</v>
      </c>
      <c r="D185" s="429"/>
      <c r="E185" s="429"/>
      <c r="F185" s="431" t="s">
        <v>162</v>
      </c>
      <c r="G185" s="431"/>
      <c r="H185" s="431"/>
      <c r="I185" s="431" t="s">
        <v>164</v>
      </c>
      <c r="J185" s="431"/>
      <c r="K185" s="431"/>
      <c r="L185" s="431" t="s">
        <v>165</v>
      </c>
      <c r="Q185" s="443"/>
      <c r="R185" s="443"/>
    </row>
    <row r="186" spans="2:21" x14ac:dyDescent="0.2">
      <c r="B186" s="36" t="s">
        <v>252</v>
      </c>
      <c r="D186" s="429" t="s">
        <v>163</v>
      </c>
      <c r="E186" s="429"/>
      <c r="F186" s="430">
        <v>1100000</v>
      </c>
      <c r="G186" s="430"/>
      <c r="H186" s="430"/>
      <c r="I186" s="430"/>
      <c r="J186" s="430"/>
      <c r="K186" s="430"/>
      <c r="L186" s="430"/>
      <c r="Q186" s="443"/>
      <c r="R186" s="443"/>
    </row>
    <row r="187" spans="2:21" x14ac:dyDescent="0.2">
      <c r="B187" s="36" t="s">
        <v>142</v>
      </c>
      <c r="D187" s="429" t="s">
        <v>161</v>
      </c>
      <c r="E187" s="429"/>
      <c r="F187" s="430"/>
      <c r="G187" s="430"/>
      <c r="H187" s="430"/>
      <c r="I187" s="430">
        <f>6100000+4500000+4500000+8200000+1700000</f>
        <v>25000000</v>
      </c>
      <c r="J187" s="430"/>
      <c r="K187" s="430"/>
      <c r="L187" s="430"/>
      <c r="Q187" s="443"/>
      <c r="R187" s="443"/>
    </row>
    <row r="188" spans="2:21" x14ac:dyDescent="0.2">
      <c r="B188" s="36" t="s">
        <v>253</v>
      </c>
      <c r="D188" s="429" t="s">
        <v>166</v>
      </c>
      <c r="E188" s="429"/>
      <c r="F188" s="430"/>
      <c r="G188" s="430"/>
      <c r="H188" s="430"/>
      <c r="I188" s="430"/>
      <c r="J188" s="430"/>
      <c r="K188" s="430"/>
      <c r="L188" s="430">
        <v>19000000</v>
      </c>
      <c r="Q188" s="443"/>
      <c r="R188" s="443"/>
    </row>
    <row r="189" spans="2:21" x14ac:dyDescent="0.2">
      <c r="B189" s="36" t="s">
        <v>160</v>
      </c>
      <c r="D189" s="429" t="s">
        <v>150</v>
      </c>
      <c r="E189" s="429"/>
      <c r="F189" s="430"/>
      <c r="G189" s="430"/>
      <c r="H189" s="430"/>
      <c r="I189" s="430">
        <v>15000000</v>
      </c>
      <c r="J189" s="430"/>
      <c r="K189" s="430"/>
      <c r="L189" s="430"/>
      <c r="Q189" s="443"/>
      <c r="R189" s="443"/>
    </row>
    <row r="190" spans="2:21" x14ac:dyDescent="0.2">
      <c r="B190" s="36"/>
      <c r="D190" s="429" t="s">
        <v>167</v>
      </c>
      <c r="E190" s="429"/>
      <c r="F190" s="430"/>
      <c r="G190" s="430"/>
      <c r="H190" s="430"/>
      <c r="I190" s="430">
        <v>15000000</v>
      </c>
      <c r="J190" s="430"/>
      <c r="K190" s="430"/>
      <c r="L190" s="430"/>
      <c r="Q190" s="443"/>
      <c r="R190" s="443"/>
    </row>
    <row r="191" spans="2:21" x14ac:dyDescent="0.2">
      <c r="D191" s="429"/>
      <c r="E191" s="429"/>
      <c r="F191" s="432">
        <f>SUM(F186:F187)</f>
        <v>1100000</v>
      </c>
      <c r="G191" s="432"/>
      <c r="H191" s="432"/>
      <c r="I191" s="432">
        <f>SUM(I186:I190)</f>
        <v>55000000</v>
      </c>
      <c r="J191" s="432"/>
      <c r="K191" s="432"/>
      <c r="L191" s="432">
        <f>SUM(L187:L188)</f>
        <v>19000000</v>
      </c>
      <c r="Q191" s="443"/>
      <c r="R191" s="443"/>
    </row>
    <row r="192" spans="2:21" x14ac:dyDescent="0.2">
      <c r="Q192" s="443"/>
      <c r="R192" s="443"/>
    </row>
    <row r="193" spans="9:18" x14ac:dyDescent="0.2">
      <c r="Q193" s="443"/>
      <c r="R193" s="443"/>
    </row>
    <row r="194" spans="9:18" x14ac:dyDescent="0.2">
      <c r="Q194" s="443"/>
      <c r="R194" s="443"/>
    </row>
    <row r="195" spans="9:18" x14ac:dyDescent="0.2">
      <c r="I195" s="430"/>
      <c r="Q195" s="443"/>
      <c r="R195" s="443"/>
    </row>
    <row r="196" spans="9:18" x14ac:dyDescent="0.2">
      <c r="I196" s="430"/>
      <c r="Q196" s="443"/>
      <c r="R196" s="443"/>
    </row>
    <row r="197" spans="9:18" x14ac:dyDescent="0.2">
      <c r="I197" s="430"/>
      <c r="Q197" s="443"/>
      <c r="R197" s="443"/>
    </row>
    <row r="198" spans="9:18" x14ac:dyDescent="0.2">
      <c r="I198" s="430"/>
      <c r="Q198" s="443"/>
      <c r="R198" s="443"/>
    </row>
    <row r="199" spans="9:18" x14ac:dyDescent="0.2">
      <c r="I199" s="247"/>
      <c r="Q199" s="443"/>
      <c r="R199" s="443"/>
    </row>
    <row r="200" spans="9:18" x14ac:dyDescent="0.2">
      <c r="Q200" s="443"/>
      <c r="R200" s="443"/>
    </row>
    <row r="201" spans="9:18" x14ac:dyDescent="0.2">
      <c r="N201" s="164"/>
      <c r="Q201" s="443"/>
      <c r="R201" s="443"/>
    </row>
    <row r="202" spans="9:18" x14ac:dyDescent="0.2">
      <c r="N202" s="55"/>
      <c r="Q202" s="443"/>
      <c r="R202" s="443"/>
    </row>
    <row r="203" spans="9:18" x14ac:dyDescent="0.2">
      <c r="N203" s="164"/>
      <c r="Q203" s="443"/>
      <c r="R203" s="443"/>
    </row>
    <row r="204" spans="9:18" x14ac:dyDescent="0.2">
      <c r="N204" s="164"/>
    </row>
  </sheetData>
  <mergeCells count="2">
    <mergeCell ref="D7:J7"/>
    <mergeCell ref="Q7:R7"/>
  </mergeCells>
  <pageMargins left="0.25" right="0.25" top="0.25" bottom="0.75" header="0.3" footer="0.3"/>
  <pageSetup scale="75" fitToHeight="0" orientation="portrait" r:id="rId1"/>
  <headerFooter>
    <oddFooter>&amp;L&amp;"Arial,Italic"Division of School Business
NC Department of Public Instruction</oddFooter>
  </headerFooter>
  <rowBreaks count="1" manualBreakCount="1">
    <brk id="13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topLeftCell="A4" workbookViewId="0">
      <selection activeCell="J4" sqref="J1:J1048576"/>
    </sheetView>
  </sheetViews>
  <sheetFormatPr defaultRowHeight="12.75" x14ac:dyDescent="0.2"/>
  <cols>
    <col min="3" max="3" width="9.5703125" bestFit="1" customWidth="1"/>
    <col min="8" max="8" width="8.85546875" style="54"/>
    <col min="10" max="10" width="8.85546875" style="239"/>
  </cols>
  <sheetData>
    <row r="1" spans="1:10" x14ac:dyDescent="0.2">
      <c r="A1" s="102" t="s">
        <v>44</v>
      </c>
      <c r="C1" s="54"/>
    </row>
    <row r="2" spans="1:10" x14ac:dyDescent="0.2">
      <c r="A2" s="102" t="s">
        <v>60</v>
      </c>
      <c r="C2" s="54"/>
    </row>
    <row r="3" spans="1:10" x14ac:dyDescent="0.2">
      <c r="A3" s="123"/>
      <c r="C3" s="54"/>
    </row>
    <row r="4" spans="1:10" ht="75" x14ac:dyDescent="0.25">
      <c r="A4" s="124" t="s">
        <v>35</v>
      </c>
      <c r="B4" s="124" t="s">
        <v>61</v>
      </c>
      <c r="C4" s="124" t="s">
        <v>34</v>
      </c>
      <c r="D4" s="124" t="s">
        <v>47</v>
      </c>
      <c r="E4" s="124" t="s">
        <v>36</v>
      </c>
      <c r="F4" s="124" t="s">
        <v>39</v>
      </c>
      <c r="G4" s="124" t="s">
        <v>62</v>
      </c>
      <c r="J4" s="240" t="s">
        <v>47</v>
      </c>
    </row>
    <row r="5" spans="1:10" ht="15" x14ac:dyDescent="0.25">
      <c r="A5" s="125">
        <v>0</v>
      </c>
      <c r="B5" s="127">
        <v>35000</v>
      </c>
      <c r="C5" s="126">
        <f>D5-B5</f>
        <v>-35000</v>
      </c>
      <c r="D5" s="127">
        <f>J5</f>
        <v>0</v>
      </c>
      <c r="E5" s="127"/>
      <c r="F5" s="127"/>
      <c r="G5" s="165">
        <v>0</v>
      </c>
      <c r="J5" s="241"/>
    </row>
    <row r="6" spans="1:10" ht="15" x14ac:dyDescent="0.25">
      <c r="A6" s="128">
        <v>1</v>
      </c>
      <c r="B6" s="130">
        <v>35750</v>
      </c>
      <c r="C6" s="129">
        <f>D6-B6</f>
        <v>-35750</v>
      </c>
      <c r="D6" s="130">
        <f>J6</f>
        <v>0</v>
      </c>
      <c r="E6" s="130">
        <f>D6-B5</f>
        <v>-35000</v>
      </c>
      <c r="F6" s="131">
        <f t="shared" ref="F6:F42" si="0">E6/B5</f>
        <v>-1</v>
      </c>
      <c r="G6" s="165">
        <v>0</v>
      </c>
      <c r="J6" s="242">
        <v>0</v>
      </c>
    </row>
    <row r="7" spans="1:10" ht="15" x14ac:dyDescent="0.25">
      <c r="A7" s="128">
        <v>2</v>
      </c>
      <c r="B7" s="130">
        <v>36000</v>
      </c>
      <c r="C7" s="129">
        <f t="shared" ref="C7:C41" si="1">D7-B7</f>
        <v>-36000</v>
      </c>
      <c r="D7" s="130">
        <f t="shared" ref="D7:D41" si="2">J7</f>
        <v>0</v>
      </c>
      <c r="E7" s="130">
        <f t="shared" ref="E7:E42" si="3">D7-B6</f>
        <v>-35750</v>
      </c>
      <c r="F7" s="131">
        <f t="shared" si="0"/>
        <v>-1</v>
      </c>
      <c r="G7" s="165">
        <v>0</v>
      </c>
      <c r="J7" s="242"/>
    </row>
    <row r="8" spans="1:10" ht="15" x14ac:dyDescent="0.25">
      <c r="A8" s="128">
        <v>3</v>
      </c>
      <c r="B8" s="130">
        <v>36250</v>
      </c>
      <c r="C8" s="129">
        <f t="shared" si="1"/>
        <v>-36250</v>
      </c>
      <c r="D8" s="130">
        <f t="shared" si="2"/>
        <v>0</v>
      </c>
      <c r="E8" s="130">
        <f t="shared" si="3"/>
        <v>-36000</v>
      </c>
      <c r="F8" s="131">
        <f t="shared" si="0"/>
        <v>-1</v>
      </c>
      <c r="G8" s="165">
        <v>0</v>
      </c>
      <c r="J8" s="242"/>
    </row>
    <row r="9" spans="1:10" ht="15" x14ac:dyDescent="0.25">
      <c r="A9" s="128">
        <v>4</v>
      </c>
      <c r="B9" s="130">
        <v>36750</v>
      </c>
      <c r="C9" s="129">
        <f t="shared" si="1"/>
        <v>-36750</v>
      </c>
      <c r="D9" s="130">
        <f t="shared" si="2"/>
        <v>0</v>
      </c>
      <c r="E9" s="130">
        <f t="shared" si="3"/>
        <v>-36250</v>
      </c>
      <c r="F9" s="131">
        <f t="shared" si="0"/>
        <v>-1</v>
      </c>
      <c r="G9" s="165">
        <v>0</v>
      </c>
      <c r="J9" s="242"/>
    </row>
    <row r="10" spans="1:10" ht="15" x14ac:dyDescent="0.25">
      <c r="A10" s="128">
        <v>5</v>
      </c>
      <c r="B10" s="130">
        <v>37250</v>
      </c>
      <c r="C10" s="129">
        <f t="shared" si="1"/>
        <v>-37250</v>
      </c>
      <c r="D10" s="130">
        <f t="shared" si="2"/>
        <v>0</v>
      </c>
      <c r="E10" s="130">
        <f t="shared" si="3"/>
        <v>-36750</v>
      </c>
      <c r="F10" s="131">
        <f t="shared" si="0"/>
        <v>-1</v>
      </c>
      <c r="G10" s="132">
        <v>0</v>
      </c>
      <c r="J10" s="242"/>
    </row>
    <row r="11" spans="1:10" ht="15" x14ac:dyDescent="0.25">
      <c r="A11" s="128">
        <v>6</v>
      </c>
      <c r="B11" s="130">
        <v>38000</v>
      </c>
      <c r="C11" s="129">
        <f t="shared" si="1"/>
        <v>-38000</v>
      </c>
      <c r="D11" s="130">
        <f t="shared" si="2"/>
        <v>0</v>
      </c>
      <c r="E11" s="130">
        <f t="shared" si="3"/>
        <v>-37250</v>
      </c>
      <c r="F11" s="131">
        <f t="shared" si="0"/>
        <v>-1</v>
      </c>
      <c r="G11" s="132">
        <v>0</v>
      </c>
      <c r="J11" s="242"/>
    </row>
    <row r="12" spans="1:10" ht="15" x14ac:dyDescent="0.25">
      <c r="A12" s="128">
        <v>7</v>
      </c>
      <c r="B12" s="130">
        <v>38500</v>
      </c>
      <c r="C12" s="129">
        <f t="shared" si="1"/>
        <v>-38500</v>
      </c>
      <c r="D12" s="130">
        <f t="shared" si="2"/>
        <v>0</v>
      </c>
      <c r="E12" s="130">
        <f>D12-B11</f>
        <v>-38000</v>
      </c>
      <c r="F12" s="131">
        <f t="shared" si="0"/>
        <v>-1</v>
      </c>
      <c r="G12" s="132">
        <v>0</v>
      </c>
      <c r="J12" s="242"/>
    </row>
    <row r="13" spans="1:10" ht="15" x14ac:dyDescent="0.25">
      <c r="A13" s="128">
        <v>8</v>
      </c>
      <c r="B13" s="130">
        <v>39000</v>
      </c>
      <c r="C13" s="129">
        <f t="shared" si="1"/>
        <v>-39000</v>
      </c>
      <c r="D13" s="130">
        <f t="shared" si="2"/>
        <v>0</v>
      </c>
      <c r="E13" s="130">
        <f t="shared" si="3"/>
        <v>-38500</v>
      </c>
      <c r="F13" s="131">
        <f t="shared" si="0"/>
        <v>-1</v>
      </c>
      <c r="G13" s="132">
        <v>0</v>
      </c>
      <c r="J13" s="242"/>
    </row>
    <row r="14" spans="1:10" ht="15" x14ac:dyDescent="0.25">
      <c r="A14" s="128">
        <v>9</v>
      </c>
      <c r="B14" s="130">
        <v>39500</v>
      </c>
      <c r="C14" s="129">
        <f t="shared" si="1"/>
        <v>-39500</v>
      </c>
      <c r="D14" s="130">
        <f t="shared" si="2"/>
        <v>0</v>
      </c>
      <c r="E14" s="130">
        <f t="shared" si="3"/>
        <v>-39000</v>
      </c>
      <c r="F14" s="131">
        <f t="shared" si="0"/>
        <v>-1</v>
      </c>
      <c r="G14" s="132">
        <v>0</v>
      </c>
      <c r="J14" s="242"/>
    </row>
    <row r="15" spans="1:10" ht="15" x14ac:dyDescent="0.25">
      <c r="A15" s="128">
        <v>10</v>
      </c>
      <c r="B15" s="130">
        <v>40250</v>
      </c>
      <c r="C15" s="129">
        <f t="shared" si="1"/>
        <v>-40250</v>
      </c>
      <c r="D15" s="130">
        <f t="shared" si="2"/>
        <v>0</v>
      </c>
      <c r="E15" s="130">
        <f>D15-B14</f>
        <v>-39500</v>
      </c>
      <c r="F15" s="131">
        <f t="shared" si="0"/>
        <v>-1</v>
      </c>
      <c r="G15" s="132">
        <v>0</v>
      </c>
      <c r="J15" s="242"/>
    </row>
    <row r="16" spans="1:10" ht="15" x14ac:dyDescent="0.25">
      <c r="A16" s="128">
        <v>11</v>
      </c>
      <c r="B16" s="130">
        <v>41000</v>
      </c>
      <c r="C16" s="129">
        <f t="shared" si="1"/>
        <v>-41000</v>
      </c>
      <c r="D16" s="130">
        <f t="shared" si="2"/>
        <v>0</v>
      </c>
      <c r="E16" s="130">
        <f t="shared" si="3"/>
        <v>-40250</v>
      </c>
      <c r="F16" s="131">
        <f t="shared" si="0"/>
        <v>-1</v>
      </c>
      <c r="G16" s="132">
        <v>0</v>
      </c>
      <c r="J16" s="242"/>
    </row>
    <row r="17" spans="1:10" ht="15" x14ac:dyDescent="0.25">
      <c r="A17" s="128">
        <v>12</v>
      </c>
      <c r="B17" s="130">
        <v>41750</v>
      </c>
      <c r="C17" s="129">
        <f t="shared" si="1"/>
        <v>-41750</v>
      </c>
      <c r="D17" s="130">
        <f t="shared" si="2"/>
        <v>0</v>
      </c>
      <c r="E17" s="130">
        <f t="shared" si="3"/>
        <v>-41000</v>
      </c>
      <c r="F17" s="131">
        <f t="shared" si="0"/>
        <v>-1</v>
      </c>
      <c r="G17" s="132">
        <v>0</v>
      </c>
      <c r="J17" s="242"/>
    </row>
    <row r="18" spans="1:10" ht="15" x14ac:dyDescent="0.25">
      <c r="A18" s="128">
        <v>13</v>
      </c>
      <c r="B18" s="130">
        <v>42500</v>
      </c>
      <c r="C18" s="129">
        <f t="shared" si="1"/>
        <v>-42500</v>
      </c>
      <c r="D18" s="130">
        <f t="shared" si="2"/>
        <v>0</v>
      </c>
      <c r="E18" s="130">
        <f t="shared" si="3"/>
        <v>-41750</v>
      </c>
      <c r="F18" s="131">
        <f t="shared" si="0"/>
        <v>-1</v>
      </c>
      <c r="G18" s="132">
        <v>0</v>
      </c>
      <c r="J18" s="242"/>
    </row>
    <row r="19" spans="1:10" ht="15" x14ac:dyDescent="0.25">
      <c r="A19" s="128">
        <v>14</v>
      </c>
      <c r="B19" s="130">
        <v>43250</v>
      </c>
      <c r="C19" s="129">
        <f t="shared" si="1"/>
        <v>-43250</v>
      </c>
      <c r="D19" s="130">
        <f t="shared" si="2"/>
        <v>0</v>
      </c>
      <c r="E19" s="130">
        <f t="shared" si="3"/>
        <v>-42500</v>
      </c>
      <c r="F19" s="131">
        <f t="shared" si="0"/>
        <v>-1</v>
      </c>
      <c r="G19" s="132">
        <v>0</v>
      </c>
      <c r="J19" s="242"/>
    </row>
    <row r="20" spans="1:10" ht="15" x14ac:dyDescent="0.25">
      <c r="A20" s="128">
        <v>15</v>
      </c>
      <c r="B20" s="130">
        <v>45250</v>
      </c>
      <c r="C20" s="129">
        <f t="shared" si="1"/>
        <v>-45250</v>
      </c>
      <c r="D20" s="130">
        <f t="shared" si="2"/>
        <v>0</v>
      </c>
      <c r="E20" s="130">
        <f t="shared" si="3"/>
        <v>-43250</v>
      </c>
      <c r="F20" s="131">
        <f t="shared" si="0"/>
        <v>-1</v>
      </c>
      <c r="G20" s="132">
        <v>0</v>
      </c>
      <c r="J20" s="242"/>
    </row>
    <row r="21" spans="1:10" ht="15" x14ac:dyDescent="0.25">
      <c r="A21" s="128">
        <v>16</v>
      </c>
      <c r="B21" s="130">
        <v>45250</v>
      </c>
      <c r="C21" s="129">
        <f t="shared" si="1"/>
        <v>-45250</v>
      </c>
      <c r="D21" s="130">
        <f t="shared" si="2"/>
        <v>0</v>
      </c>
      <c r="E21" s="130">
        <f t="shared" si="3"/>
        <v>-45250</v>
      </c>
      <c r="F21" s="131">
        <f t="shared" si="0"/>
        <v>-1</v>
      </c>
      <c r="G21" s="132">
        <v>0</v>
      </c>
      <c r="J21" s="242"/>
    </row>
    <row r="22" spans="1:10" ht="15" x14ac:dyDescent="0.25">
      <c r="A22" s="128">
        <v>17</v>
      </c>
      <c r="B22" s="130">
        <v>45250</v>
      </c>
      <c r="C22" s="129">
        <f t="shared" si="1"/>
        <v>-45250</v>
      </c>
      <c r="D22" s="130">
        <f t="shared" si="2"/>
        <v>0</v>
      </c>
      <c r="E22" s="130">
        <f t="shared" si="3"/>
        <v>-45250</v>
      </c>
      <c r="F22" s="131">
        <f t="shared" si="0"/>
        <v>-1</v>
      </c>
      <c r="G22" s="132">
        <v>0</v>
      </c>
      <c r="J22" s="242"/>
    </row>
    <row r="23" spans="1:10" ht="15" x14ac:dyDescent="0.25">
      <c r="A23" s="128">
        <v>18</v>
      </c>
      <c r="B23" s="130">
        <v>45250</v>
      </c>
      <c r="C23" s="129">
        <f t="shared" si="1"/>
        <v>-45250</v>
      </c>
      <c r="D23" s="130">
        <f t="shared" si="2"/>
        <v>0</v>
      </c>
      <c r="E23" s="130">
        <f t="shared" si="3"/>
        <v>-45250</v>
      </c>
      <c r="F23" s="131">
        <f t="shared" si="0"/>
        <v>-1</v>
      </c>
      <c r="G23" s="132">
        <v>0</v>
      </c>
      <c r="J23" s="242"/>
    </row>
    <row r="24" spans="1:10" ht="15" x14ac:dyDescent="0.25">
      <c r="A24" s="128">
        <v>19</v>
      </c>
      <c r="B24" s="130">
        <v>45250</v>
      </c>
      <c r="C24" s="129">
        <f t="shared" si="1"/>
        <v>-45250</v>
      </c>
      <c r="D24" s="130">
        <f t="shared" si="2"/>
        <v>0</v>
      </c>
      <c r="E24" s="130">
        <f t="shared" si="3"/>
        <v>-45250</v>
      </c>
      <c r="F24" s="131">
        <f t="shared" si="0"/>
        <v>-1</v>
      </c>
      <c r="G24" s="132">
        <v>0</v>
      </c>
      <c r="J24" s="242"/>
    </row>
    <row r="25" spans="1:10" ht="15" x14ac:dyDescent="0.25">
      <c r="A25" s="128">
        <v>20</v>
      </c>
      <c r="B25" s="130">
        <v>48000</v>
      </c>
      <c r="C25" s="129">
        <f t="shared" si="1"/>
        <v>-48000</v>
      </c>
      <c r="D25" s="130">
        <f t="shared" si="2"/>
        <v>0</v>
      </c>
      <c r="E25" s="130">
        <f t="shared" si="3"/>
        <v>-45250</v>
      </c>
      <c r="F25" s="131">
        <f t="shared" si="0"/>
        <v>-1</v>
      </c>
      <c r="G25" s="132">
        <v>0</v>
      </c>
      <c r="J25" s="242"/>
    </row>
    <row r="26" spans="1:10" ht="15" x14ac:dyDescent="0.25">
      <c r="A26" s="128">
        <v>21</v>
      </c>
      <c r="B26" s="130">
        <v>48000</v>
      </c>
      <c r="C26" s="129">
        <f t="shared" si="1"/>
        <v>-48000</v>
      </c>
      <c r="D26" s="130">
        <f t="shared" si="2"/>
        <v>0</v>
      </c>
      <c r="E26" s="130">
        <f t="shared" si="3"/>
        <v>-48000</v>
      </c>
      <c r="F26" s="131">
        <f t="shared" si="0"/>
        <v>-1</v>
      </c>
      <c r="G26" s="132">
        <v>0</v>
      </c>
      <c r="J26" s="242"/>
    </row>
    <row r="27" spans="1:10" ht="15" x14ac:dyDescent="0.25">
      <c r="A27" s="128">
        <v>22</v>
      </c>
      <c r="B27" s="130">
        <v>48000</v>
      </c>
      <c r="C27" s="129">
        <f t="shared" si="1"/>
        <v>-48000</v>
      </c>
      <c r="D27" s="130">
        <f t="shared" si="2"/>
        <v>0</v>
      </c>
      <c r="E27" s="130">
        <f t="shared" si="3"/>
        <v>-48000</v>
      </c>
      <c r="F27" s="131">
        <f t="shared" si="0"/>
        <v>-1</v>
      </c>
      <c r="G27" s="132">
        <v>0</v>
      </c>
      <c r="J27" s="242"/>
    </row>
    <row r="28" spans="1:10" ht="15" x14ac:dyDescent="0.25">
      <c r="A28" s="128">
        <v>23</v>
      </c>
      <c r="B28" s="130">
        <v>48000</v>
      </c>
      <c r="C28" s="129">
        <f t="shared" si="1"/>
        <v>-48000</v>
      </c>
      <c r="D28" s="130">
        <f t="shared" si="2"/>
        <v>0</v>
      </c>
      <c r="E28" s="130">
        <f t="shared" si="3"/>
        <v>-48000</v>
      </c>
      <c r="F28" s="131">
        <f t="shared" si="0"/>
        <v>-1</v>
      </c>
      <c r="G28" s="132">
        <v>0</v>
      </c>
      <c r="J28" s="242"/>
    </row>
    <row r="29" spans="1:10" ht="15" x14ac:dyDescent="0.25">
      <c r="A29" s="128">
        <v>24</v>
      </c>
      <c r="B29" s="130">
        <v>48000</v>
      </c>
      <c r="C29" s="129">
        <f t="shared" si="1"/>
        <v>-48000</v>
      </c>
      <c r="D29" s="130">
        <f t="shared" si="2"/>
        <v>0</v>
      </c>
      <c r="E29" s="130">
        <f t="shared" si="3"/>
        <v>-48000</v>
      </c>
      <c r="F29" s="131">
        <f t="shared" si="0"/>
        <v>-1</v>
      </c>
      <c r="G29" s="132">
        <v>0</v>
      </c>
      <c r="J29" s="242"/>
    </row>
    <row r="30" spans="1:10" ht="15" x14ac:dyDescent="0.25">
      <c r="A30" s="128">
        <v>25</v>
      </c>
      <c r="B30" s="130">
        <v>51000</v>
      </c>
      <c r="C30" s="129">
        <f t="shared" si="1"/>
        <v>-51000</v>
      </c>
      <c r="D30" s="130">
        <f t="shared" si="2"/>
        <v>0</v>
      </c>
      <c r="E30" s="130">
        <f t="shared" si="3"/>
        <v>-48000</v>
      </c>
      <c r="F30" s="131">
        <f t="shared" si="0"/>
        <v>-1</v>
      </c>
      <c r="G30" s="132">
        <v>0</v>
      </c>
      <c r="J30" s="242"/>
    </row>
    <row r="31" spans="1:10" ht="15" x14ac:dyDescent="0.25">
      <c r="A31" s="128">
        <v>26</v>
      </c>
      <c r="B31" s="130">
        <v>51000</v>
      </c>
      <c r="C31" s="129">
        <f t="shared" si="1"/>
        <v>-51000</v>
      </c>
      <c r="D31" s="130">
        <f t="shared" si="2"/>
        <v>0</v>
      </c>
      <c r="E31" s="130">
        <f t="shared" si="3"/>
        <v>-51000</v>
      </c>
      <c r="F31" s="131">
        <f t="shared" si="0"/>
        <v>-1</v>
      </c>
      <c r="G31" s="132">
        <v>0</v>
      </c>
      <c r="J31" s="242"/>
    </row>
    <row r="32" spans="1:10" ht="15" x14ac:dyDescent="0.25">
      <c r="A32" s="128">
        <v>27</v>
      </c>
      <c r="B32" s="130">
        <v>51000</v>
      </c>
      <c r="C32" s="129">
        <f t="shared" si="1"/>
        <v>-51000</v>
      </c>
      <c r="D32" s="130">
        <f t="shared" si="2"/>
        <v>0</v>
      </c>
      <c r="E32" s="130">
        <f t="shared" si="3"/>
        <v>-51000</v>
      </c>
      <c r="F32" s="131">
        <f t="shared" si="0"/>
        <v>-1</v>
      </c>
      <c r="G32" s="132">
        <v>0</v>
      </c>
      <c r="J32" s="242"/>
    </row>
    <row r="33" spans="1:10" ht="15" x14ac:dyDescent="0.25">
      <c r="A33" s="128">
        <v>28</v>
      </c>
      <c r="B33" s="130">
        <v>51000</v>
      </c>
      <c r="C33" s="129">
        <f t="shared" si="1"/>
        <v>-51000</v>
      </c>
      <c r="D33" s="130">
        <f t="shared" si="2"/>
        <v>0</v>
      </c>
      <c r="E33" s="130">
        <f t="shared" si="3"/>
        <v>-51000</v>
      </c>
      <c r="F33" s="131">
        <f t="shared" si="0"/>
        <v>-1</v>
      </c>
      <c r="G33" s="132">
        <v>0</v>
      </c>
      <c r="J33" s="242"/>
    </row>
    <row r="34" spans="1:10" ht="15" x14ac:dyDescent="0.25">
      <c r="A34" s="128">
        <v>29</v>
      </c>
      <c r="B34" s="130">
        <v>51000</v>
      </c>
      <c r="C34" s="129">
        <f t="shared" si="1"/>
        <v>-51000</v>
      </c>
      <c r="D34" s="130">
        <f t="shared" si="2"/>
        <v>0</v>
      </c>
      <c r="E34" s="130">
        <f t="shared" si="3"/>
        <v>-51000</v>
      </c>
      <c r="F34" s="131">
        <f t="shared" si="0"/>
        <v>-1</v>
      </c>
      <c r="G34" s="132">
        <v>0</v>
      </c>
      <c r="J34" s="242"/>
    </row>
    <row r="35" spans="1:10" ht="15" x14ac:dyDescent="0.25">
      <c r="A35" s="128">
        <v>30</v>
      </c>
      <c r="B35" s="130">
        <v>51000</v>
      </c>
      <c r="C35" s="129">
        <f t="shared" si="1"/>
        <v>-51000</v>
      </c>
      <c r="D35" s="130">
        <f t="shared" si="2"/>
        <v>0</v>
      </c>
      <c r="E35" s="130">
        <f t="shared" si="3"/>
        <v>-51000</v>
      </c>
      <c r="F35" s="131">
        <f t="shared" si="0"/>
        <v>-1</v>
      </c>
      <c r="G35" s="132">
        <v>0</v>
      </c>
      <c r="J35" s="242"/>
    </row>
    <row r="36" spans="1:10" ht="15" x14ac:dyDescent="0.25">
      <c r="A36" s="128">
        <v>31</v>
      </c>
      <c r="B36" s="130">
        <v>51000</v>
      </c>
      <c r="C36" s="129">
        <f t="shared" si="1"/>
        <v>-51000</v>
      </c>
      <c r="D36" s="130">
        <f t="shared" si="2"/>
        <v>0</v>
      </c>
      <c r="E36" s="130">
        <f t="shared" si="3"/>
        <v>-51000</v>
      </c>
      <c r="F36" s="131">
        <f t="shared" si="0"/>
        <v>-1</v>
      </c>
      <c r="G36" s="132">
        <v>0</v>
      </c>
      <c r="J36" s="242"/>
    </row>
    <row r="37" spans="1:10" ht="15" x14ac:dyDescent="0.25">
      <c r="A37" s="128">
        <v>32</v>
      </c>
      <c r="B37" s="130">
        <v>51000</v>
      </c>
      <c r="C37" s="129">
        <f t="shared" si="1"/>
        <v>-51000</v>
      </c>
      <c r="D37" s="130">
        <f t="shared" si="2"/>
        <v>0</v>
      </c>
      <c r="E37" s="130">
        <f t="shared" si="3"/>
        <v>-51000</v>
      </c>
      <c r="F37" s="131">
        <f t="shared" si="0"/>
        <v>-1</v>
      </c>
      <c r="G37" s="132">
        <v>0</v>
      </c>
      <c r="J37" s="242"/>
    </row>
    <row r="38" spans="1:10" ht="15" x14ac:dyDescent="0.25">
      <c r="A38" s="128">
        <v>33</v>
      </c>
      <c r="B38" s="130">
        <v>51000</v>
      </c>
      <c r="C38" s="129">
        <f t="shared" si="1"/>
        <v>-51000</v>
      </c>
      <c r="D38" s="130">
        <f t="shared" si="2"/>
        <v>0</v>
      </c>
      <c r="E38" s="130">
        <f t="shared" si="3"/>
        <v>-51000</v>
      </c>
      <c r="F38" s="131">
        <f t="shared" si="0"/>
        <v>-1</v>
      </c>
      <c r="G38" s="132">
        <v>0</v>
      </c>
      <c r="J38" s="242"/>
    </row>
    <row r="39" spans="1:10" ht="15" x14ac:dyDescent="0.25">
      <c r="A39" s="128">
        <v>34</v>
      </c>
      <c r="B39" s="130">
        <v>51000</v>
      </c>
      <c r="C39" s="129">
        <f t="shared" si="1"/>
        <v>-51000</v>
      </c>
      <c r="D39" s="130">
        <f t="shared" si="2"/>
        <v>0</v>
      </c>
      <c r="E39" s="130">
        <f t="shared" si="3"/>
        <v>-51000</v>
      </c>
      <c r="F39" s="131">
        <f t="shared" si="0"/>
        <v>-1</v>
      </c>
      <c r="G39" s="132">
        <v>0</v>
      </c>
      <c r="J39" s="242"/>
    </row>
    <row r="40" spans="1:10" ht="15" x14ac:dyDescent="0.25">
      <c r="A40" s="128">
        <v>35</v>
      </c>
      <c r="B40" s="130">
        <v>51000</v>
      </c>
      <c r="C40" s="129">
        <f t="shared" si="1"/>
        <v>-51000</v>
      </c>
      <c r="D40" s="130">
        <f t="shared" si="2"/>
        <v>0</v>
      </c>
      <c r="E40" s="130">
        <f t="shared" si="3"/>
        <v>-51000</v>
      </c>
      <c r="F40" s="131">
        <f t="shared" si="0"/>
        <v>-1</v>
      </c>
      <c r="G40" s="132">
        <v>0</v>
      </c>
      <c r="J40" s="242"/>
    </row>
    <row r="41" spans="1:10" ht="15" x14ac:dyDescent="0.25">
      <c r="A41" s="128">
        <v>36</v>
      </c>
      <c r="B41" s="130">
        <v>51000</v>
      </c>
      <c r="C41" s="129">
        <f t="shared" si="1"/>
        <v>-51000</v>
      </c>
      <c r="D41" s="130">
        <f t="shared" si="2"/>
        <v>0</v>
      </c>
      <c r="E41" s="130">
        <f t="shared" si="3"/>
        <v>-51000</v>
      </c>
      <c r="F41" s="131">
        <f>E41/B40</f>
        <v>-1</v>
      </c>
      <c r="G41" s="132">
        <v>0</v>
      </c>
      <c r="J41" s="242"/>
    </row>
    <row r="42" spans="1:10" ht="15" x14ac:dyDescent="0.25">
      <c r="A42" s="133">
        <v>37</v>
      </c>
      <c r="B42" s="134">
        <v>51000</v>
      </c>
      <c r="C42" s="135">
        <f>D42-B42</f>
        <v>-51000</v>
      </c>
      <c r="D42" s="135">
        <f>J42</f>
        <v>0</v>
      </c>
      <c r="E42" s="135">
        <f t="shared" si="3"/>
        <v>-51000</v>
      </c>
      <c r="F42" s="136">
        <f t="shared" si="0"/>
        <v>-1</v>
      </c>
      <c r="G42" s="137">
        <v>0</v>
      </c>
      <c r="J42" s="243"/>
    </row>
    <row r="45" spans="1:10" x14ac:dyDescent="0.2">
      <c r="A45" s="57"/>
    </row>
    <row r="46" spans="1:10" x14ac:dyDescent="0.2">
      <c r="A46" s="57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A3" sqref="A3"/>
    </sheetView>
  </sheetViews>
  <sheetFormatPr defaultRowHeight="12.75" x14ac:dyDescent="0.2"/>
  <cols>
    <col min="1" max="1" width="5.5703125" style="123" customWidth="1"/>
    <col min="2" max="2" width="12" customWidth="1"/>
    <col min="3" max="3" width="13.140625" style="54" customWidth="1"/>
    <col min="4" max="5" width="9.5703125" customWidth="1"/>
    <col min="6" max="6" width="11.140625" customWidth="1"/>
    <col min="7" max="7" width="10" customWidth="1"/>
  </cols>
  <sheetData>
    <row r="1" spans="1:7" x14ac:dyDescent="0.2">
      <c r="A1" s="102" t="s">
        <v>33</v>
      </c>
    </row>
    <row r="2" spans="1:7" x14ac:dyDescent="0.2">
      <c r="A2" s="102" t="s">
        <v>60</v>
      </c>
    </row>
    <row r="3" spans="1:7" x14ac:dyDescent="0.2">
      <c r="A3" s="102"/>
    </row>
    <row r="4" spans="1:7" s="121" customFormat="1" ht="72" customHeight="1" x14ac:dyDescent="0.25">
      <c r="A4" s="124" t="s">
        <v>35</v>
      </c>
      <c r="B4" s="124" t="s">
        <v>61</v>
      </c>
      <c r="C4" s="124" t="s">
        <v>34</v>
      </c>
      <c r="D4" s="124" t="s">
        <v>47</v>
      </c>
      <c r="E4" s="124" t="s">
        <v>36</v>
      </c>
      <c r="F4" s="124" t="s">
        <v>39</v>
      </c>
      <c r="G4" s="122"/>
    </row>
    <row r="5" spans="1:7" ht="15" x14ac:dyDescent="0.25">
      <c r="A5" s="125">
        <v>0</v>
      </c>
      <c r="B5" s="127">
        <v>35000</v>
      </c>
      <c r="C5" s="127"/>
      <c r="D5" s="127"/>
      <c r="E5" s="127"/>
      <c r="F5" s="165"/>
    </row>
    <row r="6" spans="1:7" ht="15" x14ac:dyDescent="0.25">
      <c r="A6" s="128">
        <v>1</v>
      </c>
      <c r="B6" s="130">
        <v>35750</v>
      </c>
      <c r="C6" s="130"/>
      <c r="D6" s="130"/>
      <c r="E6" s="130">
        <f t="shared" ref="E6:E42" si="0">D6-B5</f>
        <v>-35000</v>
      </c>
      <c r="F6" s="237">
        <f t="shared" ref="F6:F42" si="1">E6/B5</f>
        <v>-1</v>
      </c>
      <c r="G6" s="92"/>
    </row>
    <row r="7" spans="1:7" ht="15" x14ac:dyDescent="0.25">
      <c r="A7" s="128">
        <v>2</v>
      </c>
      <c r="B7" s="130">
        <v>36000</v>
      </c>
      <c r="C7" s="130"/>
      <c r="D7" s="130"/>
      <c r="E7" s="130">
        <f t="shared" si="0"/>
        <v>-35750</v>
      </c>
      <c r="F7" s="237">
        <f t="shared" si="1"/>
        <v>-1</v>
      </c>
      <c r="G7" s="92"/>
    </row>
    <row r="8" spans="1:7" ht="15" x14ac:dyDescent="0.25">
      <c r="A8" s="128">
        <v>3</v>
      </c>
      <c r="B8" s="130">
        <v>36250</v>
      </c>
      <c r="C8" s="130"/>
      <c r="D8" s="130"/>
      <c r="E8" s="130">
        <f t="shared" si="0"/>
        <v>-36000</v>
      </c>
      <c r="F8" s="237">
        <f t="shared" si="1"/>
        <v>-1</v>
      </c>
      <c r="G8" s="92"/>
    </row>
    <row r="9" spans="1:7" ht="15" x14ac:dyDescent="0.25">
      <c r="A9" s="128">
        <v>4</v>
      </c>
      <c r="B9" s="130">
        <v>36750</v>
      </c>
      <c r="C9" s="130"/>
      <c r="D9" s="130"/>
      <c r="E9" s="130">
        <f t="shared" si="0"/>
        <v>-36250</v>
      </c>
      <c r="F9" s="237">
        <f t="shared" si="1"/>
        <v>-1</v>
      </c>
      <c r="G9" s="92"/>
    </row>
    <row r="10" spans="1:7" ht="15" x14ac:dyDescent="0.25">
      <c r="A10" s="128">
        <v>5</v>
      </c>
      <c r="B10" s="130">
        <v>37250</v>
      </c>
      <c r="C10" s="130"/>
      <c r="D10" s="130"/>
      <c r="E10" s="130">
        <f t="shared" si="0"/>
        <v>-36750</v>
      </c>
      <c r="F10" s="237">
        <f t="shared" si="1"/>
        <v>-1</v>
      </c>
      <c r="G10" s="92"/>
    </row>
    <row r="11" spans="1:7" ht="15" x14ac:dyDescent="0.25">
      <c r="A11" s="128">
        <v>6</v>
      </c>
      <c r="B11" s="130">
        <v>38000</v>
      </c>
      <c r="C11" s="130"/>
      <c r="D11" s="130"/>
      <c r="E11" s="130">
        <f t="shared" si="0"/>
        <v>-37250</v>
      </c>
      <c r="F11" s="237">
        <f t="shared" si="1"/>
        <v>-1</v>
      </c>
      <c r="G11" s="92"/>
    </row>
    <row r="12" spans="1:7" ht="15" x14ac:dyDescent="0.25">
      <c r="A12" s="128">
        <v>7</v>
      </c>
      <c r="B12" s="130">
        <v>38500</v>
      </c>
      <c r="C12" s="130"/>
      <c r="D12" s="130"/>
      <c r="E12" s="130">
        <f t="shared" si="0"/>
        <v>-38000</v>
      </c>
      <c r="F12" s="237">
        <f t="shared" si="1"/>
        <v>-1</v>
      </c>
      <c r="G12" s="92"/>
    </row>
    <row r="13" spans="1:7" ht="15" x14ac:dyDescent="0.25">
      <c r="A13" s="128">
        <v>8</v>
      </c>
      <c r="B13" s="130">
        <v>39000</v>
      </c>
      <c r="C13" s="130"/>
      <c r="D13" s="130"/>
      <c r="E13" s="130">
        <f t="shared" si="0"/>
        <v>-38500</v>
      </c>
      <c r="F13" s="237">
        <f t="shared" si="1"/>
        <v>-1</v>
      </c>
      <c r="G13" s="92"/>
    </row>
    <row r="14" spans="1:7" ht="15" x14ac:dyDescent="0.25">
      <c r="A14" s="128">
        <v>9</v>
      </c>
      <c r="B14" s="130">
        <v>39500</v>
      </c>
      <c r="C14" s="130"/>
      <c r="D14" s="130"/>
      <c r="E14" s="130">
        <f t="shared" si="0"/>
        <v>-39000</v>
      </c>
      <c r="F14" s="237">
        <f t="shared" si="1"/>
        <v>-1</v>
      </c>
      <c r="G14" s="92"/>
    </row>
    <row r="15" spans="1:7" ht="15" x14ac:dyDescent="0.25">
      <c r="A15" s="128">
        <v>10</v>
      </c>
      <c r="B15" s="130">
        <v>40250</v>
      </c>
      <c r="C15" s="130"/>
      <c r="D15" s="130"/>
      <c r="E15" s="130">
        <f t="shared" si="0"/>
        <v>-39500</v>
      </c>
      <c r="F15" s="237">
        <f t="shared" si="1"/>
        <v>-1</v>
      </c>
      <c r="G15" s="92"/>
    </row>
    <row r="16" spans="1:7" ht="15" x14ac:dyDescent="0.25">
      <c r="A16" s="128">
        <v>11</v>
      </c>
      <c r="B16" s="130">
        <v>41000</v>
      </c>
      <c r="C16" s="130"/>
      <c r="D16" s="130"/>
      <c r="E16" s="130">
        <f t="shared" si="0"/>
        <v>-40250</v>
      </c>
      <c r="F16" s="237">
        <f t="shared" si="1"/>
        <v>-1</v>
      </c>
      <c r="G16" s="92"/>
    </row>
    <row r="17" spans="1:7" ht="15" x14ac:dyDescent="0.25">
      <c r="A17" s="128">
        <v>12</v>
      </c>
      <c r="B17" s="130">
        <v>41750</v>
      </c>
      <c r="C17" s="130"/>
      <c r="D17" s="130"/>
      <c r="E17" s="130">
        <f t="shared" si="0"/>
        <v>-41000</v>
      </c>
      <c r="F17" s="237">
        <f t="shared" si="1"/>
        <v>-1</v>
      </c>
      <c r="G17" s="92"/>
    </row>
    <row r="18" spans="1:7" ht="15" x14ac:dyDescent="0.25">
      <c r="A18" s="128">
        <v>13</v>
      </c>
      <c r="B18" s="130">
        <v>42500</v>
      </c>
      <c r="C18" s="130"/>
      <c r="D18" s="130"/>
      <c r="E18" s="130">
        <f t="shared" si="0"/>
        <v>-41750</v>
      </c>
      <c r="F18" s="237">
        <f t="shared" si="1"/>
        <v>-1</v>
      </c>
      <c r="G18" s="92"/>
    </row>
    <row r="19" spans="1:7" ht="15" x14ac:dyDescent="0.25">
      <c r="A19" s="128">
        <v>14</v>
      </c>
      <c r="B19" s="130">
        <v>43250</v>
      </c>
      <c r="C19" s="130"/>
      <c r="D19" s="130"/>
      <c r="E19" s="130">
        <f t="shared" si="0"/>
        <v>-42500</v>
      </c>
      <c r="F19" s="237">
        <f t="shared" si="1"/>
        <v>-1</v>
      </c>
      <c r="G19" s="92"/>
    </row>
    <row r="20" spans="1:7" ht="15" x14ac:dyDescent="0.25">
      <c r="A20" s="128">
        <v>15</v>
      </c>
      <c r="B20" s="130">
        <v>45250</v>
      </c>
      <c r="C20" s="130"/>
      <c r="D20" s="130"/>
      <c r="E20" s="130">
        <f t="shared" si="0"/>
        <v>-43250</v>
      </c>
      <c r="F20" s="237">
        <f t="shared" si="1"/>
        <v>-1</v>
      </c>
      <c r="G20" s="92"/>
    </row>
    <row r="21" spans="1:7" ht="15" x14ac:dyDescent="0.25">
      <c r="A21" s="128">
        <v>16</v>
      </c>
      <c r="B21" s="130">
        <v>45250</v>
      </c>
      <c r="C21" s="130"/>
      <c r="D21" s="130"/>
      <c r="E21" s="130">
        <f t="shared" si="0"/>
        <v>-45250</v>
      </c>
      <c r="F21" s="237">
        <f t="shared" si="1"/>
        <v>-1</v>
      </c>
      <c r="G21" s="92"/>
    </row>
    <row r="22" spans="1:7" ht="15" x14ac:dyDescent="0.25">
      <c r="A22" s="128">
        <v>17</v>
      </c>
      <c r="B22" s="130">
        <v>45250</v>
      </c>
      <c r="C22" s="130"/>
      <c r="D22" s="130"/>
      <c r="E22" s="130">
        <f t="shared" si="0"/>
        <v>-45250</v>
      </c>
      <c r="F22" s="237">
        <f t="shared" si="1"/>
        <v>-1</v>
      </c>
      <c r="G22" s="92"/>
    </row>
    <row r="23" spans="1:7" ht="15" x14ac:dyDescent="0.25">
      <c r="A23" s="128">
        <v>18</v>
      </c>
      <c r="B23" s="130">
        <v>45250</v>
      </c>
      <c r="C23" s="130"/>
      <c r="D23" s="130"/>
      <c r="E23" s="130">
        <f t="shared" si="0"/>
        <v>-45250</v>
      </c>
      <c r="F23" s="237">
        <f t="shared" si="1"/>
        <v>-1</v>
      </c>
      <c r="G23" s="92"/>
    </row>
    <row r="24" spans="1:7" ht="15" x14ac:dyDescent="0.25">
      <c r="A24" s="128">
        <v>19</v>
      </c>
      <c r="B24" s="130">
        <v>45250</v>
      </c>
      <c r="C24" s="130"/>
      <c r="D24" s="130"/>
      <c r="E24" s="130">
        <f t="shared" si="0"/>
        <v>-45250</v>
      </c>
      <c r="F24" s="237">
        <f t="shared" si="1"/>
        <v>-1</v>
      </c>
      <c r="G24" s="92"/>
    </row>
    <row r="25" spans="1:7" ht="15" x14ac:dyDescent="0.25">
      <c r="A25" s="128">
        <v>20</v>
      </c>
      <c r="B25" s="130">
        <v>48000</v>
      </c>
      <c r="C25" s="130"/>
      <c r="D25" s="130"/>
      <c r="E25" s="130">
        <f t="shared" si="0"/>
        <v>-45250</v>
      </c>
      <c r="F25" s="237">
        <f t="shared" si="1"/>
        <v>-1</v>
      </c>
      <c r="G25" s="92"/>
    </row>
    <row r="26" spans="1:7" ht="15" x14ac:dyDescent="0.25">
      <c r="A26" s="128">
        <v>21</v>
      </c>
      <c r="B26" s="130">
        <v>48000</v>
      </c>
      <c r="C26" s="130"/>
      <c r="D26" s="130"/>
      <c r="E26" s="130">
        <f t="shared" si="0"/>
        <v>-48000</v>
      </c>
      <c r="F26" s="237">
        <f t="shared" si="1"/>
        <v>-1</v>
      </c>
      <c r="G26" s="92"/>
    </row>
    <row r="27" spans="1:7" ht="15" x14ac:dyDescent="0.25">
      <c r="A27" s="128">
        <v>22</v>
      </c>
      <c r="B27" s="130">
        <v>48000</v>
      </c>
      <c r="C27" s="130"/>
      <c r="D27" s="130"/>
      <c r="E27" s="130">
        <f t="shared" si="0"/>
        <v>-48000</v>
      </c>
      <c r="F27" s="237">
        <f t="shared" si="1"/>
        <v>-1</v>
      </c>
      <c r="G27" s="92"/>
    </row>
    <row r="28" spans="1:7" ht="15" x14ac:dyDescent="0.25">
      <c r="A28" s="128">
        <v>23</v>
      </c>
      <c r="B28" s="130">
        <v>48000</v>
      </c>
      <c r="C28" s="130"/>
      <c r="D28" s="130"/>
      <c r="E28" s="130">
        <f t="shared" si="0"/>
        <v>-48000</v>
      </c>
      <c r="F28" s="237">
        <f t="shared" si="1"/>
        <v>-1</v>
      </c>
      <c r="G28" s="92"/>
    </row>
    <row r="29" spans="1:7" ht="15" x14ac:dyDescent="0.25">
      <c r="A29" s="128">
        <v>24</v>
      </c>
      <c r="B29" s="130">
        <v>48000</v>
      </c>
      <c r="C29" s="130"/>
      <c r="D29" s="130"/>
      <c r="E29" s="130">
        <f t="shared" si="0"/>
        <v>-48000</v>
      </c>
      <c r="F29" s="237">
        <f t="shared" si="1"/>
        <v>-1</v>
      </c>
      <c r="G29" s="92"/>
    </row>
    <row r="30" spans="1:7" ht="15" x14ac:dyDescent="0.25">
      <c r="A30" s="128">
        <v>25</v>
      </c>
      <c r="B30" s="130">
        <v>51000</v>
      </c>
      <c r="C30" s="130">
        <v>0</v>
      </c>
      <c r="D30" s="130"/>
      <c r="E30" s="130">
        <f t="shared" si="0"/>
        <v>-48000</v>
      </c>
      <c r="F30" s="237">
        <f t="shared" si="1"/>
        <v>-1</v>
      </c>
      <c r="G30" s="92"/>
    </row>
    <row r="31" spans="1:7" ht="15" x14ac:dyDescent="0.25">
      <c r="A31" s="128">
        <v>26</v>
      </c>
      <c r="B31" s="130">
        <v>51000</v>
      </c>
      <c r="C31" s="130">
        <v>0</v>
      </c>
      <c r="D31" s="130"/>
      <c r="E31" s="130">
        <f t="shared" si="0"/>
        <v>-51000</v>
      </c>
      <c r="F31" s="237">
        <f t="shared" si="1"/>
        <v>-1</v>
      </c>
      <c r="G31" s="92"/>
    </row>
    <row r="32" spans="1:7" ht="15" x14ac:dyDescent="0.25">
      <c r="A32" s="128">
        <v>27</v>
      </c>
      <c r="B32" s="130">
        <v>51000</v>
      </c>
      <c r="C32" s="130">
        <v>0</v>
      </c>
      <c r="D32" s="130"/>
      <c r="E32" s="130">
        <f t="shared" si="0"/>
        <v>-51000</v>
      </c>
      <c r="F32" s="237">
        <f t="shared" si="1"/>
        <v>-1</v>
      </c>
      <c r="G32" s="92"/>
    </row>
    <row r="33" spans="1:7" ht="15" x14ac:dyDescent="0.25">
      <c r="A33" s="128">
        <v>28</v>
      </c>
      <c r="B33" s="130">
        <v>51000</v>
      </c>
      <c r="C33" s="130">
        <v>0</v>
      </c>
      <c r="D33" s="130"/>
      <c r="E33" s="130">
        <f t="shared" si="0"/>
        <v>-51000</v>
      </c>
      <c r="F33" s="237">
        <f t="shared" si="1"/>
        <v>-1</v>
      </c>
      <c r="G33" s="92"/>
    </row>
    <row r="34" spans="1:7" ht="15" x14ac:dyDescent="0.25">
      <c r="A34" s="128">
        <v>29</v>
      </c>
      <c r="B34" s="130">
        <v>51000</v>
      </c>
      <c r="C34" s="130">
        <v>0</v>
      </c>
      <c r="D34" s="130"/>
      <c r="E34" s="130">
        <f t="shared" si="0"/>
        <v>-51000</v>
      </c>
      <c r="F34" s="237">
        <f t="shared" si="1"/>
        <v>-1</v>
      </c>
      <c r="G34" s="92"/>
    </row>
    <row r="35" spans="1:7" ht="15" x14ac:dyDescent="0.25">
      <c r="A35" s="128">
        <v>30</v>
      </c>
      <c r="B35" s="130">
        <v>51000</v>
      </c>
      <c r="C35" s="130">
        <v>0</v>
      </c>
      <c r="D35" s="130"/>
      <c r="E35" s="130">
        <f t="shared" si="0"/>
        <v>-51000</v>
      </c>
      <c r="F35" s="237">
        <f t="shared" si="1"/>
        <v>-1</v>
      </c>
      <c r="G35" s="92"/>
    </row>
    <row r="36" spans="1:7" ht="15" x14ac:dyDescent="0.25">
      <c r="A36" s="128">
        <v>31</v>
      </c>
      <c r="B36" s="130">
        <v>51000</v>
      </c>
      <c r="C36" s="130">
        <v>0</v>
      </c>
      <c r="D36" s="130"/>
      <c r="E36" s="130">
        <f t="shared" si="0"/>
        <v>-51000</v>
      </c>
      <c r="F36" s="237">
        <f t="shared" si="1"/>
        <v>-1</v>
      </c>
      <c r="G36" s="92"/>
    </row>
    <row r="37" spans="1:7" ht="15" x14ac:dyDescent="0.25">
      <c r="A37" s="128">
        <v>32</v>
      </c>
      <c r="B37" s="130">
        <v>51000</v>
      </c>
      <c r="C37" s="130">
        <v>0</v>
      </c>
      <c r="D37" s="130"/>
      <c r="E37" s="130">
        <f t="shared" si="0"/>
        <v>-51000</v>
      </c>
      <c r="F37" s="237">
        <f t="shared" si="1"/>
        <v>-1</v>
      </c>
      <c r="G37" s="92"/>
    </row>
    <row r="38" spans="1:7" ht="15" x14ac:dyDescent="0.25">
      <c r="A38" s="128">
        <v>33</v>
      </c>
      <c r="B38" s="130">
        <v>51000</v>
      </c>
      <c r="C38" s="130">
        <v>0</v>
      </c>
      <c r="D38" s="130"/>
      <c r="E38" s="130">
        <f t="shared" si="0"/>
        <v>-51000</v>
      </c>
      <c r="F38" s="237">
        <f t="shared" si="1"/>
        <v>-1</v>
      </c>
      <c r="G38" s="92"/>
    </row>
    <row r="39" spans="1:7" ht="15" x14ac:dyDescent="0.25">
      <c r="A39" s="128">
        <v>34</v>
      </c>
      <c r="B39" s="130">
        <v>51000</v>
      </c>
      <c r="C39" s="130">
        <v>0</v>
      </c>
      <c r="D39" s="130"/>
      <c r="E39" s="130">
        <f t="shared" si="0"/>
        <v>-51000</v>
      </c>
      <c r="F39" s="237">
        <f t="shared" si="1"/>
        <v>-1</v>
      </c>
      <c r="G39" s="92"/>
    </row>
    <row r="40" spans="1:7" ht="15" x14ac:dyDescent="0.25">
      <c r="A40" s="128">
        <v>35</v>
      </c>
      <c r="B40" s="130">
        <v>51000</v>
      </c>
      <c r="C40" s="130">
        <v>0</v>
      </c>
      <c r="D40" s="130"/>
      <c r="E40" s="130">
        <f t="shared" si="0"/>
        <v>-51000</v>
      </c>
      <c r="F40" s="237">
        <f t="shared" si="1"/>
        <v>-1</v>
      </c>
      <c r="G40" s="92"/>
    </row>
    <row r="41" spans="1:7" ht="15" x14ac:dyDescent="0.25">
      <c r="A41" s="128">
        <v>36</v>
      </c>
      <c r="B41" s="130">
        <v>51000</v>
      </c>
      <c r="C41" s="130">
        <v>0</v>
      </c>
      <c r="D41" s="130"/>
      <c r="E41" s="130">
        <f t="shared" si="0"/>
        <v>-51000</v>
      </c>
      <c r="F41" s="237">
        <f t="shared" si="1"/>
        <v>-1</v>
      </c>
      <c r="G41" s="92"/>
    </row>
    <row r="42" spans="1:7" ht="15" x14ac:dyDescent="0.25">
      <c r="A42" s="133">
        <v>37</v>
      </c>
      <c r="B42" s="134">
        <v>51000</v>
      </c>
      <c r="C42" s="135">
        <v>0</v>
      </c>
      <c r="D42" s="135"/>
      <c r="E42" s="135">
        <f t="shared" si="0"/>
        <v>-51000</v>
      </c>
      <c r="F42" s="238">
        <f t="shared" si="1"/>
        <v>-1</v>
      </c>
      <c r="G42" s="92"/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workbookViewId="0">
      <selection activeCell="A2" sqref="A2"/>
    </sheetView>
  </sheetViews>
  <sheetFormatPr defaultRowHeight="12.75" x14ac:dyDescent="0.2"/>
  <cols>
    <col min="3" max="3" width="25.140625" bestFit="1" customWidth="1"/>
    <col min="4" max="4" width="3.5703125" customWidth="1"/>
    <col min="6" max="6" width="19.85546875" customWidth="1"/>
    <col min="7" max="7" width="1.85546875" customWidth="1"/>
    <col min="9" max="9" width="19.7109375" customWidth="1"/>
    <col min="10" max="10" width="2.42578125" customWidth="1"/>
    <col min="11" max="11" width="11.28515625" customWidth="1"/>
    <col min="12" max="12" width="14.7109375" customWidth="1"/>
  </cols>
  <sheetData>
    <row r="1" spans="1:12" x14ac:dyDescent="0.2">
      <c r="A1" s="374" t="s">
        <v>247</v>
      </c>
      <c r="B1" s="374"/>
      <c r="C1" s="371"/>
      <c r="D1" s="365"/>
      <c r="E1" s="365"/>
      <c r="F1" s="365"/>
      <c r="G1" s="365"/>
      <c r="H1" s="365"/>
      <c r="I1" s="365"/>
      <c r="J1" s="365"/>
      <c r="K1" s="365"/>
      <c r="L1" s="365"/>
    </row>
    <row r="2" spans="1:12" x14ac:dyDescent="0.2">
      <c r="A2" s="365"/>
      <c r="B2" s="365"/>
      <c r="C2" s="365"/>
      <c r="D2" s="413"/>
      <c r="E2" s="470" t="s">
        <v>12</v>
      </c>
      <c r="F2" s="471"/>
      <c r="G2" s="365"/>
      <c r="H2" s="470" t="s">
        <v>26</v>
      </c>
      <c r="I2" s="471"/>
      <c r="J2" s="365"/>
      <c r="K2" s="470" t="s">
        <v>20</v>
      </c>
      <c r="L2" s="471"/>
    </row>
    <row r="3" spans="1:12" x14ac:dyDescent="0.2">
      <c r="A3" s="383" t="s">
        <v>37</v>
      </c>
      <c r="B3" s="389"/>
      <c r="C3" s="391"/>
      <c r="D3" s="419"/>
      <c r="E3" s="390" t="s">
        <v>230</v>
      </c>
      <c r="F3" s="385"/>
      <c r="G3" s="365"/>
      <c r="H3" s="390" t="s">
        <v>231</v>
      </c>
      <c r="I3" s="385"/>
      <c r="J3" s="365"/>
      <c r="K3" s="390"/>
      <c r="L3" s="385"/>
    </row>
    <row r="4" spans="1:12" x14ac:dyDescent="0.2">
      <c r="A4" s="392"/>
      <c r="B4" s="393" t="s">
        <v>222</v>
      </c>
      <c r="C4" s="394"/>
      <c r="D4" s="419"/>
      <c r="E4" s="377"/>
      <c r="F4" s="378"/>
      <c r="G4" s="365"/>
      <c r="H4" s="377"/>
      <c r="I4" s="378"/>
      <c r="J4" s="365"/>
      <c r="K4" s="377"/>
      <c r="L4" s="378"/>
    </row>
    <row r="5" spans="1:12" x14ac:dyDescent="0.2">
      <c r="A5" s="392"/>
      <c r="B5" s="393"/>
      <c r="C5" s="395" t="s">
        <v>225</v>
      </c>
      <c r="D5" s="365"/>
      <c r="E5" s="468">
        <v>4.8000000000000001E-2</v>
      </c>
      <c r="F5" s="469"/>
      <c r="G5" s="365"/>
      <c r="H5" s="468">
        <v>1.7999999999999999E-2</v>
      </c>
      <c r="I5" s="469"/>
      <c r="J5" s="365"/>
      <c r="K5" s="411" t="s">
        <v>306</v>
      </c>
      <c r="L5" s="378"/>
    </row>
    <row r="6" spans="1:12" x14ac:dyDescent="0.2">
      <c r="A6" s="392"/>
      <c r="B6" s="52"/>
      <c r="C6" s="394"/>
      <c r="D6" s="365"/>
      <c r="E6" s="379"/>
      <c r="F6" s="378"/>
      <c r="G6" s="365"/>
      <c r="H6" s="379"/>
      <c r="I6" s="378"/>
      <c r="J6" s="365"/>
      <c r="K6" s="379"/>
      <c r="L6" s="378"/>
    </row>
    <row r="7" spans="1:12" ht="37.5" customHeight="1" x14ac:dyDescent="0.2">
      <c r="A7" s="392"/>
      <c r="B7" s="396" t="s">
        <v>173</v>
      </c>
      <c r="C7" s="394"/>
      <c r="D7" s="365"/>
      <c r="E7" s="410" t="s">
        <v>220</v>
      </c>
      <c r="F7" s="404"/>
      <c r="G7" s="365"/>
      <c r="H7" s="474" t="s">
        <v>223</v>
      </c>
      <c r="I7" s="475"/>
      <c r="J7" s="365"/>
      <c r="K7" s="474" t="s">
        <v>290</v>
      </c>
      <c r="L7" s="475"/>
    </row>
    <row r="8" spans="1:12" x14ac:dyDescent="0.2">
      <c r="A8" s="392"/>
      <c r="B8" s="367"/>
      <c r="C8" s="394"/>
      <c r="D8" s="365"/>
      <c r="E8" s="380"/>
      <c r="F8" s="404"/>
      <c r="G8" s="365"/>
      <c r="H8" s="380"/>
      <c r="I8" s="378"/>
      <c r="J8" s="365"/>
      <c r="K8" s="380"/>
      <c r="L8" s="378"/>
    </row>
    <row r="9" spans="1:12" ht="38.25" customHeight="1" x14ac:dyDescent="0.2">
      <c r="A9" s="392"/>
      <c r="B9" s="396" t="s">
        <v>221</v>
      </c>
      <c r="C9" s="394"/>
      <c r="D9" s="365"/>
      <c r="E9" s="472" t="s">
        <v>229</v>
      </c>
      <c r="F9" s="473"/>
      <c r="G9" s="365"/>
      <c r="H9" s="379"/>
      <c r="I9" s="378"/>
      <c r="J9" s="365"/>
      <c r="K9" s="379"/>
      <c r="L9" s="378"/>
    </row>
    <row r="10" spans="1:12" s="334" customFormat="1" ht="33.75" customHeight="1" x14ac:dyDescent="0.2">
      <c r="A10" s="392"/>
      <c r="B10" s="396"/>
      <c r="C10" s="394"/>
      <c r="D10" s="365"/>
      <c r="E10" s="472" t="s">
        <v>243</v>
      </c>
      <c r="F10" s="473"/>
      <c r="G10" s="365"/>
      <c r="H10" s="379"/>
      <c r="I10" s="378"/>
      <c r="J10" s="365"/>
      <c r="K10" s="472" t="s">
        <v>305</v>
      </c>
      <c r="L10" s="473"/>
    </row>
    <row r="11" spans="1:12" s="334" customFormat="1" ht="36.75" customHeight="1" x14ac:dyDescent="0.2">
      <c r="A11" s="392"/>
      <c r="B11" s="396"/>
      <c r="C11" s="394"/>
      <c r="D11" s="365"/>
      <c r="E11" s="379"/>
      <c r="F11" s="416"/>
      <c r="G11" s="365"/>
      <c r="H11" s="472" t="s">
        <v>257</v>
      </c>
      <c r="I11" s="473"/>
      <c r="J11" s="365"/>
      <c r="K11" s="472" t="s">
        <v>257</v>
      </c>
      <c r="L11" s="473"/>
    </row>
    <row r="12" spans="1:12" ht="33.75" customHeight="1" x14ac:dyDescent="0.2">
      <c r="A12" s="392"/>
      <c r="B12" s="367"/>
      <c r="C12" s="407"/>
      <c r="D12" s="365"/>
      <c r="E12" s="480" t="s">
        <v>235</v>
      </c>
      <c r="F12" s="481"/>
      <c r="G12" s="365"/>
      <c r="H12" s="472" t="s">
        <v>235</v>
      </c>
      <c r="I12" s="473"/>
      <c r="J12" s="365"/>
      <c r="K12" s="472" t="s">
        <v>235</v>
      </c>
      <c r="L12" s="473"/>
    </row>
    <row r="13" spans="1:12" x14ac:dyDescent="0.2">
      <c r="A13" s="392"/>
      <c r="B13" s="367"/>
      <c r="C13" s="394"/>
      <c r="D13" s="365"/>
      <c r="E13" s="379"/>
      <c r="F13" s="378"/>
      <c r="G13" s="365"/>
      <c r="H13" s="379"/>
      <c r="I13" s="378"/>
      <c r="J13" s="365"/>
      <c r="K13" s="379"/>
      <c r="L13" s="378"/>
    </row>
    <row r="14" spans="1:12" x14ac:dyDescent="0.2">
      <c r="A14" s="384" t="s">
        <v>133</v>
      </c>
      <c r="B14" s="386"/>
      <c r="C14" s="391"/>
      <c r="D14" s="387"/>
      <c r="E14" s="388"/>
      <c r="F14" s="385"/>
      <c r="G14" s="365"/>
      <c r="H14" s="388"/>
      <c r="I14" s="385"/>
      <c r="J14" s="365"/>
      <c r="K14" s="388"/>
      <c r="L14" s="385"/>
    </row>
    <row r="15" spans="1:12" ht="51.75" customHeight="1" x14ac:dyDescent="0.2">
      <c r="A15" s="186"/>
      <c r="B15" s="420" t="s">
        <v>234</v>
      </c>
      <c r="C15" s="407" t="s">
        <v>57</v>
      </c>
      <c r="D15" s="365"/>
      <c r="E15" s="494">
        <v>0.1</v>
      </c>
      <c r="F15" s="495"/>
      <c r="G15" s="375"/>
      <c r="H15" s="496">
        <v>6.2E-2</v>
      </c>
      <c r="I15" s="497"/>
      <c r="J15" s="375"/>
      <c r="K15" s="403" t="s">
        <v>306</v>
      </c>
      <c r="L15" s="378"/>
    </row>
    <row r="16" spans="1:12" s="334" customFormat="1" ht="69.75" customHeight="1" x14ac:dyDescent="0.2">
      <c r="A16" s="421"/>
      <c r="B16" s="367"/>
      <c r="C16" s="225"/>
      <c r="D16" s="365"/>
      <c r="E16" s="498" t="s">
        <v>224</v>
      </c>
      <c r="F16" s="499"/>
      <c r="G16" s="375"/>
      <c r="H16" s="403"/>
      <c r="I16" s="415"/>
      <c r="J16" s="375"/>
      <c r="K16" s="403"/>
      <c r="L16" s="378"/>
    </row>
    <row r="17" spans="1:12" s="334" customFormat="1" x14ac:dyDescent="0.2">
      <c r="A17" s="421"/>
      <c r="B17" s="367"/>
      <c r="C17" s="225"/>
      <c r="D17" s="365"/>
      <c r="E17" s="403"/>
      <c r="F17" s="414"/>
      <c r="G17" s="375"/>
      <c r="H17" s="403"/>
      <c r="I17" s="415"/>
      <c r="J17" s="375"/>
      <c r="K17" s="403"/>
      <c r="L17" s="378"/>
    </row>
    <row r="18" spans="1:12" ht="25.5" customHeight="1" x14ac:dyDescent="0.2">
      <c r="A18" s="392"/>
      <c r="B18" s="396" t="s">
        <v>173</v>
      </c>
      <c r="C18" s="225"/>
      <c r="D18" s="365"/>
      <c r="E18" s="382"/>
      <c r="F18" s="404"/>
      <c r="G18" s="365"/>
      <c r="H18" s="480" t="s">
        <v>233</v>
      </c>
      <c r="I18" s="481"/>
      <c r="J18" s="365"/>
      <c r="K18" s="480" t="s">
        <v>233</v>
      </c>
      <c r="L18" s="481"/>
    </row>
    <row r="19" spans="1:12" s="334" customFormat="1" ht="51.75" customHeight="1" x14ac:dyDescent="0.2">
      <c r="A19" s="392"/>
      <c r="B19" s="396"/>
      <c r="C19" s="225"/>
      <c r="D19" s="365"/>
      <c r="E19" s="428"/>
      <c r="F19" s="404"/>
      <c r="G19" s="365"/>
      <c r="H19" s="480" t="s">
        <v>255</v>
      </c>
      <c r="I19" s="481"/>
      <c r="J19" s="365"/>
      <c r="K19" s="480" t="s">
        <v>255</v>
      </c>
      <c r="L19" s="481"/>
    </row>
    <row r="20" spans="1:12" s="334" customFormat="1" ht="51.75" customHeight="1" x14ac:dyDescent="0.2">
      <c r="A20" s="397"/>
      <c r="B20" s="366"/>
      <c r="C20" s="398"/>
      <c r="D20" s="365"/>
      <c r="E20" s="476" t="s">
        <v>260</v>
      </c>
      <c r="F20" s="477"/>
      <c r="G20" s="365"/>
      <c r="H20" s="476" t="s">
        <v>241</v>
      </c>
      <c r="I20" s="477"/>
      <c r="J20" s="365"/>
      <c r="K20" s="476" t="s">
        <v>241</v>
      </c>
      <c r="L20" s="477"/>
    </row>
    <row r="21" spans="1:12" s="334" customFormat="1" x14ac:dyDescent="0.2">
      <c r="A21" s="384" t="s">
        <v>63</v>
      </c>
      <c r="B21" s="386"/>
      <c r="C21" s="399"/>
      <c r="D21" s="387"/>
      <c r="E21" s="400"/>
      <c r="F21" s="385"/>
      <c r="G21" s="375"/>
      <c r="H21" s="400"/>
      <c r="I21" s="385"/>
      <c r="J21" s="365"/>
      <c r="K21" s="400"/>
      <c r="L21" s="385"/>
    </row>
    <row r="22" spans="1:12" s="334" customFormat="1" ht="20.25" customHeight="1" x14ac:dyDescent="0.2">
      <c r="A22" s="409"/>
      <c r="B22" s="393" t="s">
        <v>234</v>
      </c>
      <c r="C22" s="395" t="s">
        <v>232</v>
      </c>
      <c r="D22" s="365"/>
      <c r="E22" s="490">
        <v>6.3E-2</v>
      </c>
      <c r="F22" s="491"/>
      <c r="G22" s="365"/>
      <c r="H22" s="492">
        <v>1.2500000000000001E-2</v>
      </c>
      <c r="I22" s="493"/>
      <c r="J22" s="365"/>
      <c r="K22" s="381"/>
      <c r="L22" s="404"/>
    </row>
    <row r="23" spans="1:12" ht="25.5" customHeight="1" x14ac:dyDescent="0.2">
      <c r="A23" s="186"/>
      <c r="B23" s="367"/>
      <c r="C23" s="395"/>
      <c r="D23" s="365"/>
      <c r="E23" s="478" t="s">
        <v>226</v>
      </c>
      <c r="F23" s="479"/>
      <c r="G23" s="365"/>
      <c r="H23" s="478" t="s">
        <v>227</v>
      </c>
      <c r="I23" s="479"/>
      <c r="J23" s="365"/>
      <c r="K23" s="478" t="s">
        <v>227</v>
      </c>
      <c r="L23" s="479"/>
    </row>
    <row r="24" spans="1:12" ht="37.5" customHeight="1" x14ac:dyDescent="0.2">
      <c r="A24" s="409"/>
      <c r="B24" s="367"/>
      <c r="C24" s="395"/>
      <c r="D24" s="365"/>
      <c r="E24" s="500" t="s">
        <v>242</v>
      </c>
      <c r="F24" s="501"/>
      <c r="G24" s="365"/>
      <c r="H24" s="381"/>
      <c r="I24" s="404"/>
      <c r="J24" s="365"/>
      <c r="K24" s="381"/>
      <c r="L24" s="404"/>
    </row>
    <row r="25" spans="1:12" x14ac:dyDescent="0.2">
      <c r="A25" s="392"/>
      <c r="B25" s="367"/>
      <c r="C25" s="395"/>
      <c r="D25" s="406"/>
      <c r="E25" s="365"/>
      <c r="F25" s="378"/>
      <c r="G25" s="375"/>
      <c r="H25" s="380"/>
      <c r="I25" s="404"/>
      <c r="J25" s="375"/>
      <c r="K25" s="380"/>
      <c r="L25" s="404"/>
    </row>
    <row r="26" spans="1:12" x14ac:dyDescent="0.2">
      <c r="A26" s="384" t="s">
        <v>27</v>
      </c>
      <c r="B26" s="386"/>
      <c r="C26" s="399"/>
      <c r="D26" s="387"/>
      <c r="E26" s="400"/>
      <c r="F26" s="385"/>
      <c r="G26" s="375"/>
      <c r="H26" s="400"/>
      <c r="I26" s="385"/>
      <c r="J26" s="372"/>
      <c r="K26" s="400"/>
      <c r="L26" s="385"/>
    </row>
    <row r="27" spans="1:12" ht="57.75" customHeight="1" x14ac:dyDescent="0.2">
      <c r="A27" s="402"/>
      <c r="B27" s="401"/>
      <c r="C27" s="412" t="s">
        <v>46</v>
      </c>
      <c r="D27" s="373"/>
      <c r="E27" s="486" t="s">
        <v>228</v>
      </c>
      <c r="F27" s="487"/>
      <c r="G27" s="375"/>
      <c r="H27" s="488" t="s">
        <v>236</v>
      </c>
      <c r="I27" s="489"/>
      <c r="J27" s="372"/>
      <c r="K27" s="488" t="s">
        <v>236</v>
      </c>
      <c r="L27" s="489"/>
    </row>
    <row r="28" spans="1:12" ht="27.75" customHeight="1" x14ac:dyDescent="0.2">
      <c r="A28" s="397"/>
      <c r="B28" s="366"/>
      <c r="C28" s="398"/>
      <c r="D28" s="365"/>
      <c r="E28" s="484" t="s">
        <v>256</v>
      </c>
      <c r="F28" s="485"/>
      <c r="G28" s="375"/>
      <c r="H28" s="482" t="s">
        <v>237</v>
      </c>
      <c r="I28" s="483"/>
      <c r="J28" s="365"/>
      <c r="K28" s="482" t="s">
        <v>237</v>
      </c>
      <c r="L28" s="483"/>
    </row>
    <row r="29" spans="1:12" x14ac:dyDescent="0.2">
      <c r="A29" s="392"/>
      <c r="B29" s="367"/>
      <c r="C29" s="405"/>
      <c r="D29" s="365"/>
      <c r="E29" s="376"/>
      <c r="F29" s="370"/>
      <c r="G29" s="375"/>
      <c r="H29" s="368"/>
      <c r="I29" s="369"/>
      <c r="J29" s="375"/>
      <c r="K29" s="368"/>
      <c r="L29" s="369"/>
    </row>
  </sheetData>
  <mergeCells count="37">
    <mergeCell ref="K28:L28"/>
    <mergeCell ref="K18:L18"/>
    <mergeCell ref="K19:L19"/>
    <mergeCell ref="K20:L20"/>
    <mergeCell ref="K23:L23"/>
    <mergeCell ref="K27:L27"/>
    <mergeCell ref="H28:I28"/>
    <mergeCell ref="E28:F28"/>
    <mergeCell ref="E27:F27"/>
    <mergeCell ref="H27:I27"/>
    <mergeCell ref="E9:F9"/>
    <mergeCell ref="E10:F10"/>
    <mergeCell ref="H18:I18"/>
    <mergeCell ref="H12:I12"/>
    <mergeCell ref="E22:F22"/>
    <mergeCell ref="H22:I22"/>
    <mergeCell ref="H11:I11"/>
    <mergeCell ref="E15:F15"/>
    <mergeCell ref="H15:I15"/>
    <mergeCell ref="E16:F16"/>
    <mergeCell ref="E24:F24"/>
    <mergeCell ref="E20:F20"/>
    <mergeCell ref="H20:I20"/>
    <mergeCell ref="H23:I23"/>
    <mergeCell ref="E23:F23"/>
    <mergeCell ref="E12:F12"/>
    <mergeCell ref="H7:I7"/>
    <mergeCell ref="H19:I19"/>
    <mergeCell ref="E5:F5"/>
    <mergeCell ref="H5:I5"/>
    <mergeCell ref="K2:L2"/>
    <mergeCell ref="K12:L12"/>
    <mergeCell ref="H2:I2"/>
    <mergeCell ref="E2:F2"/>
    <mergeCell ref="K11:L11"/>
    <mergeCell ref="K7:L7"/>
    <mergeCell ref="K10:L10"/>
  </mergeCells>
  <pageMargins left="0.7" right="0.7" top="0.75" bottom="0.75" header="0.3" footer="0.3"/>
  <pageSetup scale="68" fitToHeight="0" orientation="portrait" r:id="rId1"/>
  <headerFooter>
    <oddFooter>&amp;L&amp;"Arial,Italic"&amp;9Division of School Business
NC Department of Public Instruction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activeCell="A3" sqref="A3"/>
    </sheetView>
  </sheetViews>
  <sheetFormatPr defaultRowHeight="12.75" x14ac:dyDescent="0.2"/>
  <cols>
    <col min="2" max="2" width="11.140625" customWidth="1"/>
    <col min="3" max="3" width="4.28515625" style="334" customWidth="1"/>
    <col min="4" max="5" width="12.140625" customWidth="1"/>
    <col min="6" max="6" width="12.85546875" style="334" customWidth="1"/>
    <col min="7" max="7" width="11.5703125" bestFit="1" customWidth="1"/>
  </cols>
  <sheetData>
    <row r="1" spans="1:7" x14ac:dyDescent="0.2">
      <c r="A1" s="336" t="s">
        <v>244</v>
      </c>
      <c r="C1" s="336"/>
      <c r="G1" s="102"/>
    </row>
    <row r="2" spans="1:7" x14ac:dyDescent="0.2">
      <c r="A2" s="102" t="s">
        <v>248</v>
      </c>
    </row>
    <row r="3" spans="1:7" x14ac:dyDescent="0.2">
      <c r="A3" s="107"/>
    </row>
    <row r="4" spans="1:7" x14ac:dyDescent="0.2">
      <c r="A4" s="123"/>
    </row>
    <row r="5" spans="1:7" ht="60" x14ac:dyDescent="0.25">
      <c r="A5" s="124" t="s">
        <v>35</v>
      </c>
      <c r="B5" s="306" t="s">
        <v>170</v>
      </c>
      <c r="D5" s="306" t="s">
        <v>168</v>
      </c>
      <c r="E5" s="306" t="s">
        <v>169</v>
      </c>
      <c r="F5" s="306" t="s">
        <v>284</v>
      </c>
    </row>
    <row r="6" spans="1:7" ht="15" x14ac:dyDescent="0.25">
      <c r="A6" s="425">
        <v>0</v>
      </c>
      <c r="B6" s="422">
        <v>35000</v>
      </c>
      <c r="D6" s="212">
        <v>35000</v>
      </c>
      <c r="E6" s="165">
        <v>35000</v>
      </c>
      <c r="F6" s="439">
        <v>35000</v>
      </c>
    </row>
    <row r="7" spans="1:7" ht="15" x14ac:dyDescent="0.25">
      <c r="A7" s="426">
        <v>1</v>
      </c>
      <c r="B7" s="423">
        <v>36000</v>
      </c>
      <c r="D7" s="213">
        <v>36000</v>
      </c>
      <c r="E7" s="333">
        <v>36180</v>
      </c>
      <c r="F7" s="440">
        <v>36000</v>
      </c>
    </row>
    <row r="8" spans="1:7" ht="15" x14ac:dyDescent="0.25">
      <c r="A8" s="426">
        <v>2</v>
      </c>
      <c r="B8" s="423">
        <v>37000</v>
      </c>
      <c r="D8" s="213">
        <v>37000</v>
      </c>
      <c r="E8" s="333">
        <v>37190</v>
      </c>
      <c r="F8" s="440">
        <v>37000</v>
      </c>
    </row>
    <row r="9" spans="1:7" ht="15" x14ac:dyDescent="0.25">
      <c r="A9" s="426">
        <v>3</v>
      </c>
      <c r="B9" s="423">
        <v>38000</v>
      </c>
      <c r="D9" s="213">
        <v>38000</v>
      </c>
      <c r="E9" s="333">
        <v>38190</v>
      </c>
      <c r="F9" s="440">
        <v>38000</v>
      </c>
    </row>
    <row r="10" spans="1:7" ht="15" x14ac:dyDescent="0.25">
      <c r="A10" s="426">
        <v>4</v>
      </c>
      <c r="B10" s="423">
        <v>39000</v>
      </c>
      <c r="D10" s="213">
        <v>39000</v>
      </c>
      <c r="E10" s="333">
        <v>39200</v>
      </c>
      <c r="F10" s="440">
        <v>39000</v>
      </c>
    </row>
    <row r="11" spans="1:7" ht="15" x14ac:dyDescent="0.25">
      <c r="A11" s="426">
        <v>5</v>
      </c>
      <c r="B11" s="423">
        <v>40000</v>
      </c>
      <c r="D11" s="213">
        <v>40000</v>
      </c>
      <c r="E11" s="333">
        <v>40200</v>
      </c>
      <c r="F11" s="440">
        <v>40000</v>
      </c>
    </row>
    <row r="12" spans="1:7" ht="15" x14ac:dyDescent="0.25">
      <c r="A12" s="426">
        <v>6</v>
      </c>
      <c r="B12" s="423">
        <v>41000</v>
      </c>
      <c r="D12" s="213">
        <v>41000</v>
      </c>
      <c r="E12" s="333">
        <v>41210</v>
      </c>
      <c r="F12" s="440">
        <v>41000</v>
      </c>
    </row>
    <row r="13" spans="1:7" ht="15" x14ac:dyDescent="0.25">
      <c r="A13" s="426">
        <v>7</v>
      </c>
      <c r="B13" s="423">
        <v>42000</v>
      </c>
      <c r="D13" s="213">
        <v>42000</v>
      </c>
      <c r="E13" s="333">
        <v>42210</v>
      </c>
      <c r="F13" s="440">
        <v>42000</v>
      </c>
    </row>
    <row r="14" spans="1:7" ht="15" x14ac:dyDescent="0.25">
      <c r="A14" s="426">
        <v>8</v>
      </c>
      <c r="B14" s="423">
        <v>43000</v>
      </c>
      <c r="D14" s="213">
        <v>43000</v>
      </c>
      <c r="E14" s="333">
        <v>43220</v>
      </c>
      <c r="F14" s="440">
        <v>43000</v>
      </c>
    </row>
    <row r="15" spans="1:7" ht="15" x14ac:dyDescent="0.25">
      <c r="A15" s="426">
        <v>9</v>
      </c>
      <c r="B15" s="423">
        <v>44000</v>
      </c>
      <c r="D15" s="213">
        <v>44000</v>
      </c>
      <c r="E15" s="333">
        <v>44220</v>
      </c>
      <c r="F15" s="440">
        <v>44000</v>
      </c>
    </row>
    <row r="16" spans="1:7" ht="15" x14ac:dyDescent="0.25">
      <c r="A16" s="426">
        <v>10</v>
      </c>
      <c r="B16" s="423">
        <v>45000</v>
      </c>
      <c r="D16" s="213">
        <v>45000</v>
      </c>
      <c r="E16" s="333">
        <v>45230</v>
      </c>
      <c r="F16" s="440">
        <v>45000</v>
      </c>
    </row>
    <row r="17" spans="1:7" ht="15" x14ac:dyDescent="0.25">
      <c r="A17" s="426">
        <v>11</v>
      </c>
      <c r="B17" s="423">
        <v>46000</v>
      </c>
      <c r="D17" s="213">
        <v>46000</v>
      </c>
      <c r="E17" s="333">
        <v>46230</v>
      </c>
      <c r="F17" s="440">
        <v>46000</v>
      </c>
    </row>
    <row r="18" spans="1:7" ht="15" x14ac:dyDescent="0.25">
      <c r="A18" s="426">
        <v>12</v>
      </c>
      <c r="B18" s="423">
        <v>47000</v>
      </c>
      <c r="D18" s="213">
        <v>47000</v>
      </c>
      <c r="E18" s="333">
        <v>47240</v>
      </c>
      <c r="F18" s="440">
        <v>47000</v>
      </c>
    </row>
    <row r="19" spans="1:7" ht="15" x14ac:dyDescent="0.25">
      <c r="A19" s="426">
        <v>13</v>
      </c>
      <c r="B19" s="423">
        <v>48000</v>
      </c>
      <c r="D19" s="213">
        <v>48000</v>
      </c>
      <c r="E19" s="333">
        <v>48240</v>
      </c>
      <c r="F19" s="440">
        <v>48000</v>
      </c>
    </row>
    <row r="20" spans="1:7" ht="15" x14ac:dyDescent="0.25">
      <c r="A20" s="426">
        <v>14</v>
      </c>
      <c r="B20" s="423">
        <v>49000</v>
      </c>
      <c r="D20" s="213">
        <v>49000</v>
      </c>
      <c r="E20" s="333">
        <v>49250</v>
      </c>
      <c r="F20" s="440">
        <v>49000</v>
      </c>
    </row>
    <row r="21" spans="1:7" ht="15" x14ac:dyDescent="0.25">
      <c r="A21" s="426">
        <v>15</v>
      </c>
      <c r="B21" s="423">
        <v>50000</v>
      </c>
      <c r="D21" s="213">
        <v>50000</v>
      </c>
      <c r="E21" s="333">
        <v>50250</v>
      </c>
      <c r="F21" s="440">
        <v>50000</v>
      </c>
    </row>
    <row r="22" spans="1:7" ht="15" x14ac:dyDescent="0.25">
      <c r="A22" s="426">
        <v>16</v>
      </c>
      <c r="B22" s="423">
        <v>50000</v>
      </c>
      <c r="D22" s="213">
        <v>50500</v>
      </c>
      <c r="E22" s="333">
        <v>50250</v>
      </c>
      <c r="F22" s="440">
        <v>50500</v>
      </c>
    </row>
    <row r="23" spans="1:7" ht="15" x14ac:dyDescent="0.25">
      <c r="A23" s="426">
        <v>17</v>
      </c>
      <c r="B23" s="423">
        <v>50000</v>
      </c>
      <c r="D23" s="213">
        <v>51000</v>
      </c>
      <c r="E23" s="333">
        <v>50250</v>
      </c>
      <c r="F23" s="440">
        <v>50500</v>
      </c>
    </row>
    <row r="24" spans="1:7" ht="15" x14ac:dyDescent="0.25">
      <c r="A24" s="426">
        <v>18</v>
      </c>
      <c r="B24" s="423">
        <v>50000</v>
      </c>
      <c r="D24" s="213">
        <v>51500</v>
      </c>
      <c r="E24" s="333">
        <v>50250</v>
      </c>
      <c r="F24" s="440">
        <v>50500</v>
      </c>
    </row>
    <row r="25" spans="1:7" ht="15" x14ac:dyDescent="0.25">
      <c r="A25" s="426">
        <v>19</v>
      </c>
      <c r="B25" s="423">
        <v>50000</v>
      </c>
      <c r="D25" s="213">
        <v>52000</v>
      </c>
      <c r="E25" s="333">
        <v>50250</v>
      </c>
      <c r="F25" s="440">
        <v>50500</v>
      </c>
    </row>
    <row r="26" spans="1:7" ht="15" x14ac:dyDescent="0.25">
      <c r="A26" s="426">
        <v>20</v>
      </c>
      <c r="B26" s="423">
        <v>50000</v>
      </c>
      <c r="D26" s="213">
        <v>52500</v>
      </c>
      <c r="E26" s="333">
        <v>50250</v>
      </c>
      <c r="F26" s="440">
        <v>50500</v>
      </c>
    </row>
    <row r="27" spans="1:7" ht="15" x14ac:dyDescent="0.25">
      <c r="A27" s="426">
        <v>21</v>
      </c>
      <c r="B27" s="423">
        <v>50000</v>
      </c>
      <c r="D27" s="213">
        <v>53000</v>
      </c>
      <c r="E27" s="333">
        <v>50250</v>
      </c>
      <c r="F27" s="440">
        <v>51500</v>
      </c>
    </row>
    <row r="28" spans="1:7" ht="15" x14ac:dyDescent="0.25">
      <c r="A28" s="426">
        <v>22</v>
      </c>
      <c r="B28" s="423">
        <v>50000</v>
      </c>
      <c r="D28" s="213">
        <v>53500</v>
      </c>
      <c r="E28" s="333">
        <v>50250</v>
      </c>
      <c r="F28" s="440">
        <v>51500</v>
      </c>
    </row>
    <row r="29" spans="1:7" ht="15" x14ac:dyDescent="0.25">
      <c r="A29" s="426">
        <v>23</v>
      </c>
      <c r="B29" s="423">
        <v>50000</v>
      </c>
      <c r="D29" s="213">
        <v>54000</v>
      </c>
      <c r="E29" s="333">
        <v>50250</v>
      </c>
      <c r="F29" s="440">
        <v>51500</v>
      </c>
    </row>
    <row r="30" spans="1:7" ht="15" x14ac:dyDescent="0.25">
      <c r="A30" s="426">
        <v>24</v>
      </c>
      <c r="B30" s="423">
        <v>50000</v>
      </c>
      <c r="D30" s="213">
        <v>54500</v>
      </c>
      <c r="E30" s="333">
        <v>50250</v>
      </c>
      <c r="F30" s="440">
        <v>51500</v>
      </c>
    </row>
    <row r="31" spans="1:7" ht="15" x14ac:dyDescent="0.25">
      <c r="A31" s="426">
        <v>25</v>
      </c>
      <c r="B31" s="423">
        <v>52000</v>
      </c>
      <c r="C31" s="317"/>
      <c r="D31" s="213">
        <v>55000</v>
      </c>
      <c r="E31" s="333">
        <v>52260</v>
      </c>
      <c r="F31" s="440">
        <v>52600</v>
      </c>
      <c r="G31" s="317"/>
    </row>
    <row r="32" spans="1:7" ht="15" x14ac:dyDescent="0.25">
      <c r="A32" s="426">
        <v>26</v>
      </c>
      <c r="B32" s="423">
        <v>52000</v>
      </c>
      <c r="D32" s="213">
        <v>55500</v>
      </c>
      <c r="E32" s="333">
        <v>52260</v>
      </c>
      <c r="F32" s="440">
        <v>52600</v>
      </c>
    </row>
    <row r="33" spans="1:6" ht="15" x14ac:dyDescent="0.25">
      <c r="A33" s="426">
        <v>27</v>
      </c>
      <c r="B33" s="423">
        <v>52000</v>
      </c>
      <c r="D33" s="213">
        <v>56000</v>
      </c>
      <c r="E33" s="333">
        <v>52260</v>
      </c>
      <c r="F33" s="440">
        <v>52600</v>
      </c>
    </row>
    <row r="34" spans="1:6" ht="15" x14ac:dyDescent="0.25">
      <c r="A34" s="426">
        <v>28</v>
      </c>
      <c r="B34" s="423">
        <v>52000</v>
      </c>
      <c r="D34" s="213">
        <v>56500</v>
      </c>
      <c r="E34" s="333">
        <v>52260</v>
      </c>
      <c r="F34" s="440">
        <v>52600</v>
      </c>
    </row>
    <row r="35" spans="1:6" ht="15" x14ac:dyDescent="0.25">
      <c r="A35" s="426">
        <v>29</v>
      </c>
      <c r="B35" s="423">
        <v>52000</v>
      </c>
      <c r="D35" s="213">
        <v>57000</v>
      </c>
      <c r="E35" s="333">
        <v>52260</v>
      </c>
      <c r="F35" s="440">
        <v>52600</v>
      </c>
    </row>
    <row r="36" spans="1:6" ht="15" x14ac:dyDescent="0.25">
      <c r="A36" s="427">
        <v>30</v>
      </c>
      <c r="B36" s="424">
        <v>52000</v>
      </c>
      <c r="D36" s="218">
        <v>60500</v>
      </c>
      <c r="E36" s="339">
        <v>52260</v>
      </c>
      <c r="F36" s="441">
        <v>52600</v>
      </c>
    </row>
  </sheetData>
  <pageMargins left="0.7" right="0.7" top="0.75" bottom="0.75" header="0.3" footer="0.3"/>
  <pageSetup orientation="portrait" r:id="rId1"/>
  <headerFooter>
    <oddFooter>&amp;L&amp;"Arial,Italic"Division of School Business
NC Department of Public Instruction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activeCell="A2" sqref="A2"/>
    </sheetView>
  </sheetViews>
  <sheetFormatPr defaultRowHeight="12.75" x14ac:dyDescent="0.2"/>
  <cols>
    <col min="1" max="1" width="9.140625" style="334"/>
    <col min="2" max="2" width="11.140625" style="334" customWidth="1"/>
    <col min="3" max="8" width="9.140625" style="334"/>
    <col min="9" max="9" width="11.5703125" style="334" bestFit="1" customWidth="1"/>
    <col min="10" max="16384" width="9.140625" style="334"/>
  </cols>
  <sheetData>
    <row r="1" spans="1:9" x14ac:dyDescent="0.2">
      <c r="A1" s="336" t="s">
        <v>283</v>
      </c>
      <c r="C1" s="57"/>
      <c r="D1" s="335"/>
      <c r="I1" s="336"/>
    </row>
    <row r="2" spans="1:9" x14ac:dyDescent="0.2">
      <c r="A2" s="336"/>
      <c r="D2" s="335"/>
    </row>
    <row r="3" spans="1:9" x14ac:dyDescent="0.2">
      <c r="A3" s="337" t="s">
        <v>171</v>
      </c>
      <c r="D3" s="462" t="s">
        <v>307</v>
      </c>
    </row>
    <row r="4" spans="1:9" x14ac:dyDescent="0.2">
      <c r="A4" s="338"/>
      <c r="D4" s="335"/>
    </row>
    <row r="5" spans="1:9" ht="60" x14ac:dyDescent="0.25">
      <c r="A5" s="124" t="s">
        <v>35</v>
      </c>
      <c r="B5" s="306" t="s">
        <v>170</v>
      </c>
      <c r="C5" s="306" t="s">
        <v>136</v>
      </c>
      <c r="D5" s="124" t="s">
        <v>34</v>
      </c>
      <c r="E5" s="463" t="s">
        <v>308</v>
      </c>
      <c r="F5" s="306" t="s">
        <v>137</v>
      </c>
      <c r="G5" s="306" t="s">
        <v>39</v>
      </c>
    </row>
    <row r="6" spans="1:9" ht="15" x14ac:dyDescent="0.25">
      <c r="A6" s="125">
        <v>0</v>
      </c>
      <c r="B6" s="311">
        <v>35000</v>
      </c>
      <c r="C6" s="127"/>
      <c r="D6" s="310">
        <f>E6-B6</f>
        <v>0</v>
      </c>
      <c r="E6" s="127">
        <v>35000</v>
      </c>
      <c r="F6" s="320"/>
      <c r="G6" s="165"/>
    </row>
    <row r="7" spans="1:9" ht="15" x14ac:dyDescent="0.25">
      <c r="A7" s="128">
        <v>1</v>
      </c>
      <c r="B7" s="312">
        <v>36000</v>
      </c>
      <c r="C7" s="130">
        <f>B7-B6</f>
        <v>1000</v>
      </c>
      <c r="D7" s="309">
        <f>E7-B7</f>
        <v>0</v>
      </c>
      <c r="E7" s="130">
        <v>36000</v>
      </c>
      <c r="F7" s="321">
        <f>E7-B6</f>
        <v>1000</v>
      </c>
      <c r="G7" s="307">
        <f>F7/B6</f>
        <v>2.8571428571428571E-2</v>
      </c>
    </row>
    <row r="8" spans="1:9" ht="15" x14ac:dyDescent="0.25">
      <c r="A8" s="128">
        <v>2</v>
      </c>
      <c r="B8" s="312">
        <v>37000</v>
      </c>
      <c r="C8" s="130">
        <f t="shared" ref="C8:C35" si="0">B8-B7</f>
        <v>1000</v>
      </c>
      <c r="D8" s="309">
        <f t="shared" ref="D8:D35" si="1">E8-B8</f>
        <v>0</v>
      </c>
      <c r="E8" s="130">
        <v>37000</v>
      </c>
      <c r="F8" s="321">
        <f t="shared" ref="F8:F36" si="2">E8-B7</f>
        <v>1000</v>
      </c>
      <c r="G8" s="307">
        <f>F8/B7</f>
        <v>2.7777777777777776E-2</v>
      </c>
    </row>
    <row r="9" spans="1:9" ht="15" x14ac:dyDescent="0.25">
      <c r="A9" s="128">
        <v>3</v>
      </c>
      <c r="B9" s="312">
        <v>38000</v>
      </c>
      <c r="C9" s="130">
        <f t="shared" si="0"/>
        <v>1000</v>
      </c>
      <c r="D9" s="309">
        <f t="shared" si="1"/>
        <v>0</v>
      </c>
      <c r="E9" s="130">
        <v>38000</v>
      </c>
      <c r="F9" s="321">
        <f t="shared" si="2"/>
        <v>1000</v>
      </c>
      <c r="G9" s="307">
        <f t="shared" ref="G9:G36" si="3">F9/B8</f>
        <v>2.7027027027027029E-2</v>
      </c>
    </row>
    <row r="10" spans="1:9" ht="15" x14ac:dyDescent="0.25">
      <c r="A10" s="128">
        <v>4</v>
      </c>
      <c r="B10" s="312">
        <v>39000</v>
      </c>
      <c r="C10" s="130">
        <f t="shared" si="0"/>
        <v>1000</v>
      </c>
      <c r="D10" s="309">
        <f t="shared" si="1"/>
        <v>0</v>
      </c>
      <c r="E10" s="130">
        <v>39000</v>
      </c>
      <c r="F10" s="321">
        <f t="shared" si="2"/>
        <v>1000</v>
      </c>
      <c r="G10" s="307">
        <f t="shared" si="3"/>
        <v>2.6315789473684209E-2</v>
      </c>
    </row>
    <row r="11" spans="1:9" ht="15" x14ac:dyDescent="0.25">
      <c r="A11" s="128">
        <v>5</v>
      </c>
      <c r="B11" s="312">
        <v>40000</v>
      </c>
      <c r="C11" s="130">
        <f t="shared" si="0"/>
        <v>1000</v>
      </c>
      <c r="D11" s="309">
        <f t="shared" si="1"/>
        <v>0</v>
      </c>
      <c r="E11" s="130">
        <v>40000</v>
      </c>
      <c r="F11" s="321">
        <f t="shared" si="2"/>
        <v>1000</v>
      </c>
      <c r="G11" s="307">
        <f t="shared" si="3"/>
        <v>2.564102564102564E-2</v>
      </c>
    </row>
    <row r="12" spans="1:9" ht="15" x14ac:dyDescent="0.25">
      <c r="A12" s="128">
        <v>6</v>
      </c>
      <c r="B12" s="312">
        <v>41000</v>
      </c>
      <c r="C12" s="130">
        <f t="shared" si="0"/>
        <v>1000</v>
      </c>
      <c r="D12" s="309">
        <f t="shared" si="1"/>
        <v>0</v>
      </c>
      <c r="E12" s="130">
        <v>41000</v>
      </c>
      <c r="F12" s="321">
        <f t="shared" si="2"/>
        <v>1000</v>
      </c>
      <c r="G12" s="307">
        <f t="shared" si="3"/>
        <v>2.5000000000000001E-2</v>
      </c>
    </row>
    <row r="13" spans="1:9" ht="15" x14ac:dyDescent="0.25">
      <c r="A13" s="128">
        <v>7</v>
      </c>
      <c r="B13" s="312">
        <v>42000</v>
      </c>
      <c r="C13" s="130">
        <f t="shared" si="0"/>
        <v>1000</v>
      </c>
      <c r="D13" s="309">
        <f t="shared" si="1"/>
        <v>0</v>
      </c>
      <c r="E13" s="130">
        <v>42000</v>
      </c>
      <c r="F13" s="321">
        <f t="shared" si="2"/>
        <v>1000</v>
      </c>
      <c r="G13" s="307">
        <f t="shared" si="3"/>
        <v>2.4390243902439025E-2</v>
      </c>
    </row>
    <row r="14" spans="1:9" ht="15" x14ac:dyDescent="0.25">
      <c r="A14" s="128">
        <v>8</v>
      </c>
      <c r="B14" s="312">
        <v>43000</v>
      </c>
      <c r="C14" s="130">
        <f t="shared" si="0"/>
        <v>1000</v>
      </c>
      <c r="D14" s="309">
        <f t="shared" si="1"/>
        <v>0</v>
      </c>
      <c r="E14" s="130">
        <v>43000</v>
      </c>
      <c r="F14" s="321">
        <f>E14-B13</f>
        <v>1000</v>
      </c>
      <c r="G14" s="307">
        <f t="shared" si="3"/>
        <v>2.3809523809523808E-2</v>
      </c>
    </row>
    <row r="15" spans="1:9" ht="15" x14ac:dyDescent="0.25">
      <c r="A15" s="128">
        <v>9</v>
      </c>
      <c r="B15" s="312">
        <v>44000</v>
      </c>
      <c r="C15" s="130">
        <f t="shared" si="0"/>
        <v>1000</v>
      </c>
      <c r="D15" s="309">
        <f t="shared" si="1"/>
        <v>0</v>
      </c>
      <c r="E15" s="130">
        <v>44000</v>
      </c>
      <c r="F15" s="321">
        <f t="shared" si="2"/>
        <v>1000</v>
      </c>
      <c r="G15" s="307">
        <f t="shared" si="3"/>
        <v>2.3255813953488372E-2</v>
      </c>
    </row>
    <row r="16" spans="1:9" ht="15" x14ac:dyDescent="0.25">
      <c r="A16" s="128">
        <v>10</v>
      </c>
      <c r="B16" s="312">
        <v>45000</v>
      </c>
      <c r="C16" s="130">
        <f t="shared" si="0"/>
        <v>1000</v>
      </c>
      <c r="D16" s="309">
        <f t="shared" si="1"/>
        <v>0</v>
      </c>
      <c r="E16" s="130">
        <v>45000</v>
      </c>
      <c r="F16" s="321">
        <f t="shared" si="2"/>
        <v>1000</v>
      </c>
      <c r="G16" s="307">
        <f t="shared" si="3"/>
        <v>2.2727272727272728E-2</v>
      </c>
    </row>
    <row r="17" spans="1:9" ht="15" x14ac:dyDescent="0.25">
      <c r="A17" s="128">
        <v>11</v>
      </c>
      <c r="B17" s="312">
        <v>46000</v>
      </c>
      <c r="C17" s="130">
        <f t="shared" si="0"/>
        <v>1000</v>
      </c>
      <c r="D17" s="309">
        <f t="shared" si="1"/>
        <v>0</v>
      </c>
      <c r="E17" s="130">
        <v>46000</v>
      </c>
      <c r="F17" s="321">
        <f t="shared" si="2"/>
        <v>1000</v>
      </c>
      <c r="G17" s="307">
        <f t="shared" si="3"/>
        <v>2.2222222222222223E-2</v>
      </c>
    </row>
    <row r="18" spans="1:9" ht="15" x14ac:dyDescent="0.25">
      <c r="A18" s="128">
        <v>12</v>
      </c>
      <c r="B18" s="312">
        <v>47000</v>
      </c>
      <c r="C18" s="130">
        <f t="shared" si="0"/>
        <v>1000</v>
      </c>
      <c r="D18" s="309">
        <f t="shared" si="1"/>
        <v>0</v>
      </c>
      <c r="E18" s="130">
        <v>47000</v>
      </c>
      <c r="F18" s="321">
        <f t="shared" si="2"/>
        <v>1000</v>
      </c>
      <c r="G18" s="307">
        <f t="shared" si="3"/>
        <v>2.1739130434782608E-2</v>
      </c>
    </row>
    <row r="19" spans="1:9" ht="15" x14ac:dyDescent="0.25">
      <c r="A19" s="128">
        <v>13</v>
      </c>
      <c r="B19" s="312">
        <v>48000</v>
      </c>
      <c r="C19" s="130">
        <f t="shared" si="0"/>
        <v>1000</v>
      </c>
      <c r="D19" s="309">
        <f t="shared" si="1"/>
        <v>0</v>
      </c>
      <c r="E19" s="130">
        <v>48000</v>
      </c>
      <c r="F19" s="321">
        <f t="shared" si="2"/>
        <v>1000</v>
      </c>
      <c r="G19" s="307">
        <f t="shared" si="3"/>
        <v>2.1276595744680851E-2</v>
      </c>
    </row>
    <row r="20" spans="1:9" ht="15" x14ac:dyDescent="0.25">
      <c r="A20" s="128">
        <v>14</v>
      </c>
      <c r="B20" s="312">
        <v>49000</v>
      </c>
      <c r="C20" s="130">
        <f t="shared" si="0"/>
        <v>1000</v>
      </c>
      <c r="D20" s="309">
        <f t="shared" si="1"/>
        <v>0</v>
      </c>
      <c r="E20" s="130">
        <v>49000</v>
      </c>
      <c r="F20" s="321">
        <f t="shared" si="2"/>
        <v>1000</v>
      </c>
      <c r="G20" s="307">
        <f t="shared" si="3"/>
        <v>2.0833333333333332E-2</v>
      </c>
    </row>
    <row r="21" spans="1:9" ht="15" x14ac:dyDescent="0.25">
      <c r="A21" s="128">
        <v>15</v>
      </c>
      <c r="B21" s="312">
        <v>50000</v>
      </c>
      <c r="C21" s="130">
        <f t="shared" si="0"/>
        <v>1000</v>
      </c>
      <c r="D21" s="309">
        <f t="shared" si="1"/>
        <v>0</v>
      </c>
      <c r="E21" s="130">
        <v>50000</v>
      </c>
      <c r="F21" s="321">
        <f t="shared" si="2"/>
        <v>1000</v>
      </c>
      <c r="G21" s="307">
        <f t="shared" si="3"/>
        <v>2.0408163265306121E-2</v>
      </c>
    </row>
    <row r="22" spans="1:9" ht="15" x14ac:dyDescent="0.25">
      <c r="A22" s="128">
        <v>16</v>
      </c>
      <c r="B22" s="312">
        <v>50000</v>
      </c>
      <c r="C22" s="130">
        <f t="shared" si="0"/>
        <v>0</v>
      </c>
      <c r="D22" s="309">
        <f t="shared" si="1"/>
        <v>500</v>
      </c>
      <c r="E22" s="130">
        <v>50500</v>
      </c>
      <c r="F22" s="321">
        <f t="shared" si="2"/>
        <v>500</v>
      </c>
      <c r="G22" s="307">
        <f t="shared" si="3"/>
        <v>0.01</v>
      </c>
    </row>
    <row r="23" spans="1:9" ht="15" x14ac:dyDescent="0.25">
      <c r="A23" s="128">
        <v>17</v>
      </c>
      <c r="B23" s="312">
        <v>50000</v>
      </c>
      <c r="C23" s="130">
        <f t="shared" si="0"/>
        <v>0</v>
      </c>
      <c r="D23" s="309">
        <f t="shared" si="1"/>
        <v>500</v>
      </c>
      <c r="E23" s="130">
        <v>50500</v>
      </c>
      <c r="F23" s="321">
        <f t="shared" si="2"/>
        <v>500</v>
      </c>
      <c r="G23" s="307">
        <f t="shared" si="3"/>
        <v>0.01</v>
      </c>
    </row>
    <row r="24" spans="1:9" ht="15" x14ac:dyDescent="0.25">
      <c r="A24" s="128">
        <v>18</v>
      </c>
      <c r="B24" s="312">
        <v>50000</v>
      </c>
      <c r="C24" s="130">
        <f t="shared" si="0"/>
        <v>0</v>
      </c>
      <c r="D24" s="309">
        <f t="shared" si="1"/>
        <v>500</v>
      </c>
      <c r="E24" s="130">
        <v>50500</v>
      </c>
      <c r="F24" s="321">
        <f t="shared" si="2"/>
        <v>500</v>
      </c>
      <c r="G24" s="307">
        <f t="shared" si="3"/>
        <v>0.01</v>
      </c>
    </row>
    <row r="25" spans="1:9" ht="15" x14ac:dyDescent="0.25">
      <c r="A25" s="128">
        <v>19</v>
      </c>
      <c r="B25" s="312">
        <v>50000</v>
      </c>
      <c r="C25" s="130">
        <f t="shared" si="0"/>
        <v>0</v>
      </c>
      <c r="D25" s="309">
        <f t="shared" si="1"/>
        <v>500</v>
      </c>
      <c r="E25" s="130">
        <v>50500</v>
      </c>
      <c r="F25" s="321">
        <f t="shared" si="2"/>
        <v>500</v>
      </c>
      <c r="G25" s="307">
        <f t="shared" si="3"/>
        <v>0.01</v>
      </c>
    </row>
    <row r="26" spans="1:9" ht="15" x14ac:dyDescent="0.25">
      <c r="A26" s="128">
        <v>20</v>
      </c>
      <c r="B26" s="312">
        <v>50000</v>
      </c>
      <c r="C26" s="130">
        <f t="shared" si="0"/>
        <v>0</v>
      </c>
      <c r="D26" s="309">
        <f t="shared" si="1"/>
        <v>500</v>
      </c>
      <c r="E26" s="130">
        <v>50500</v>
      </c>
      <c r="F26" s="321">
        <f t="shared" si="2"/>
        <v>500</v>
      </c>
      <c r="G26" s="307">
        <f t="shared" si="3"/>
        <v>0.01</v>
      </c>
    </row>
    <row r="27" spans="1:9" ht="15" x14ac:dyDescent="0.25">
      <c r="A27" s="128">
        <v>21</v>
      </c>
      <c r="B27" s="312">
        <v>50000</v>
      </c>
      <c r="C27" s="130">
        <f t="shared" si="0"/>
        <v>0</v>
      </c>
      <c r="D27" s="309">
        <f t="shared" si="1"/>
        <v>1500</v>
      </c>
      <c r="E27" s="130">
        <v>51500</v>
      </c>
      <c r="F27" s="321">
        <f t="shared" si="2"/>
        <v>1500</v>
      </c>
      <c r="G27" s="307">
        <f t="shared" si="3"/>
        <v>0.03</v>
      </c>
    </row>
    <row r="28" spans="1:9" ht="15" x14ac:dyDescent="0.25">
      <c r="A28" s="128">
        <v>22</v>
      </c>
      <c r="B28" s="312">
        <v>50000</v>
      </c>
      <c r="C28" s="130">
        <f t="shared" si="0"/>
        <v>0</v>
      </c>
      <c r="D28" s="309">
        <f t="shared" si="1"/>
        <v>1500</v>
      </c>
      <c r="E28" s="130">
        <v>51500</v>
      </c>
      <c r="F28" s="321">
        <f t="shared" si="2"/>
        <v>1500</v>
      </c>
      <c r="G28" s="307">
        <f t="shared" si="3"/>
        <v>0.03</v>
      </c>
    </row>
    <row r="29" spans="1:9" ht="15" x14ac:dyDescent="0.25">
      <c r="A29" s="128">
        <v>23</v>
      </c>
      <c r="B29" s="312">
        <v>50000</v>
      </c>
      <c r="C29" s="130">
        <f t="shared" si="0"/>
        <v>0</v>
      </c>
      <c r="D29" s="309">
        <f t="shared" si="1"/>
        <v>1500</v>
      </c>
      <c r="E29" s="130">
        <v>51500</v>
      </c>
      <c r="F29" s="321">
        <f t="shared" si="2"/>
        <v>1500</v>
      </c>
      <c r="G29" s="307">
        <f t="shared" si="3"/>
        <v>0.03</v>
      </c>
    </row>
    <row r="30" spans="1:9" ht="15" x14ac:dyDescent="0.25">
      <c r="A30" s="128">
        <v>24</v>
      </c>
      <c r="B30" s="312">
        <v>50000</v>
      </c>
      <c r="C30" s="130">
        <f t="shared" si="0"/>
        <v>0</v>
      </c>
      <c r="D30" s="309">
        <f t="shared" si="1"/>
        <v>1500</v>
      </c>
      <c r="E30" s="130">
        <v>51500</v>
      </c>
      <c r="F30" s="321">
        <f t="shared" si="2"/>
        <v>1500</v>
      </c>
      <c r="G30" s="307">
        <f t="shared" si="3"/>
        <v>0.03</v>
      </c>
    </row>
    <row r="31" spans="1:9" ht="15" x14ac:dyDescent="0.25">
      <c r="A31" s="128">
        <v>25</v>
      </c>
      <c r="B31" s="312">
        <v>52000</v>
      </c>
      <c r="C31" s="130">
        <f t="shared" si="0"/>
        <v>2000</v>
      </c>
      <c r="D31" s="309">
        <f t="shared" si="1"/>
        <v>600</v>
      </c>
      <c r="E31" s="130">
        <v>52600</v>
      </c>
      <c r="F31" s="321">
        <f>E31-B30</f>
        <v>2600</v>
      </c>
      <c r="G31" s="307">
        <f>F31/B30</f>
        <v>5.1999999999999998E-2</v>
      </c>
      <c r="I31" s="317"/>
    </row>
    <row r="32" spans="1:9" ht="15" x14ac:dyDescent="0.25">
      <c r="A32" s="128">
        <v>26</v>
      </c>
      <c r="B32" s="312">
        <v>52000</v>
      </c>
      <c r="C32" s="130">
        <f t="shared" si="0"/>
        <v>0</v>
      </c>
      <c r="D32" s="309">
        <f t="shared" si="1"/>
        <v>600</v>
      </c>
      <c r="E32" s="130">
        <v>52600</v>
      </c>
      <c r="F32" s="321">
        <f t="shared" si="2"/>
        <v>600</v>
      </c>
      <c r="G32" s="307">
        <f>F32/B31</f>
        <v>1.1538461538461539E-2</v>
      </c>
    </row>
    <row r="33" spans="1:7" ht="15" x14ac:dyDescent="0.25">
      <c r="A33" s="128">
        <v>27</v>
      </c>
      <c r="B33" s="312">
        <v>52000</v>
      </c>
      <c r="C33" s="130">
        <f t="shared" si="0"/>
        <v>0</v>
      </c>
      <c r="D33" s="309">
        <f t="shared" si="1"/>
        <v>600</v>
      </c>
      <c r="E33" s="130">
        <v>52600</v>
      </c>
      <c r="F33" s="321">
        <f t="shared" si="2"/>
        <v>600</v>
      </c>
      <c r="G33" s="307">
        <f t="shared" si="3"/>
        <v>1.1538461538461539E-2</v>
      </c>
    </row>
    <row r="34" spans="1:7" ht="15" x14ac:dyDescent="0.25">
      <c r="A34" s="128">
        <v>28</v>
      </c>
      <c r="B34" s="312">
        <v>52000</v>
      </c>
      <c r="C34" s="130">
        <f t="shared" si="0"/>
        <v>0</v>
      </c>
      <c r="D34" s="309">
        <f t="shared" si="1"/>
        <v>600</v>
      </c>
      <c r="E34" s="130">
        <v>52600</v>
      </c>
      <c r="F34" s="321">
        <f t="shared" si="2"/>
        <v>600</v>
      </c>
      <c r="G34" s="307">
        <f t="shared" si="3"/>
        <v>1.1538461538461539E-2</v>
      </c>
    </row>
    <row r="35" spans="1:7" ht="15" x14ac:dyDescent="0.25">
      <c r="A35" s="128">
        <v>29</v>
      </c>
      <c r="B35" s="312">
        <v>52000</v>
      </c>
      <c r="C35" s="130">
        <f t="shared" si="0"/>
        <v>0</v>
      </c>
      <c r="D35" s="309">
        <f t="shared" si="1"/>
        <v>600</v>
      </c>
      <c r="E35" s="130">
        <v>52600</v>
      </c>
      <c r="F35" s="321">
        <f t="shared" si="2"/>
        <v>600</v>
      </c>
      <c r="G35" s="307">
        <f t="shared" si="3"/>
        <v>1.1538461538461539E-2</v>
      </c>
    </row>
    <row r="36" spans="1:7" ht="15" x14ac:dyDescent="0.25">
      <c r="A36" s="128">
        <v>30</v>
      </c>
      <c r="B36" s="313">
        <v>52000</v>
      </c>
      <c r="C36" s="135">
        <f>B35-B36</f>
        <v>0</v>
      </c>
      <c r="D36" s="314">
        <f>E36-B36</f>
        <v>600</v>
      </c>
      <c r="E36" s="135">
        <v>52600</v>
      </c>
      <c r="F36" s="322">
        <f t="shared" si="2"/>
        <v>600</v>
      </c>
      <c r="G36" s="308">
        <f t="shared" si="3"/>
        <v>1.1538461538461539E-2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5"/>
  <sheetViews>
    <sheetView zoomScale="160" zoomScaleNormal="160" workbookViewId="0">
      <selection activeCell="A2" sqref="A2"/>
    </sheetView>
  </sheetViews>
  <sheetFormatPr defaultRowHeight="12.75" x14ac:dyDescent="0.2"/>
  <cols>
    <col min="1" max="1" width="5.28515625" style="334" customWidth="1"/>
    <col min="3" max="3" width="4.85546875" customWidth="1"/>
    <col min="4" max="4" width="11.85546875" customWidth="1"/>
    <col min="5" max="6" width="11.140625" customWidth="1"/>
    <col min="7" max="7" width="13.28515625" customWidth="1"/>
    <col min="8" max="8" width="4.42578125" customWidth="1"/>
  </cols>
  <sheetData>
    <row r="1" spans="1:10" s="334" customFormat="1" x14ac:dyDescent="0.2">
      <c r="A1" s="337" t="s">
        <v>249</v>
      </c>
    </row>
    <row r="2" spans="1:10" s="334" customFormat="1" x14ac:dyDescent="0.2">
      <c r="A2" s="337"/>
    </row>
    <row r="3" spans="1:10" ht="18" x14ac:dyDescent="0.25">
      <c r="A3" s="350" t="s">
        <v>240</v>
      </c>
      <c r="C3" s="350"/>
      <c r="D3" s="347"/>
      <c r="E3" s="355"/>
      <c r="F3" s="356"/>
      <c r="G3" s="356"/>
      <c r="I3" s="337" t="s">
        <v>173</v>
      </c>
    </row>
    <row r="4" spans="1:10" x14ac:dyDescent="0.2">
      <c r="B4" s="349"/>
      <c r="C4" s="349"/>
      <c r="D4" s="348"/>
      <c r="E4" s="344"/>
      <c r="F4" s="346"/>
      <c r="G4" s="345"/>
      <c r="I4" s="57" t="s">
        <v>213</v>
      </c>
    </row>
    <row r="5" spans="1:10" ht="25.5" x14ac:dyDescent="0.2">
      <c r="B5" s="21" t="s">
        <v>184</v>
      </c>
      <c r="C5" s="349"/>
      <c r="D5" s="351" t="s">
        <v>175</v>
      </c>
      <c r="E5" s="351" t="s">
        <v>176</v>
      </c>
      <c r="F5" s="352" t="s">
        <v>177</v>
      </c>
      <c r="G5" s="357" t="s">
        <v>178</v>
      </c>
      <c r="I5" s="503" t="s">
        <v>239</v>
      </c>
      <c r="J5" s="504"/>
    </row>
    <row r="6" spans="1:10" x14ac:dyDescent="0.2">
      <c r="B6" s="358"/>
      <c r="C6" s="343"/>
      <c r="D6" s="353" t="s">
        <v>179</v>
      </c>
      <c r="E6" s="464">
        <v>66010</v>
      </c>
      <c r="F6" s="464">
        <v>72611</v>
      </c>
      <c r="G6" s="464">
        <v>79212</v>
      </c>
      <c r="H6" s="335"/>
      <c r="I6" s="465" t="s">
        <v>189</v>
      </c>
      <c r="J6" s="464">
        <v>10000</v>
      </c>
    </row>
    <row r="7" spans="1:10" x14ac:dyDescent="0.2">
      <c r="B7" s="358"/>
      <c r="C7" s="343"/>
      <c r="D7" s="353" t="s">
        <v>180</v>
      </c>
      <c r="E7" s="464">
        <v>69311</v>
      </c>
      <c r="F7" s="464">
        <v>76242</v>
      </c>
      <c r="G7" s="464">
        <v>83173</v>
      </c>
      <c r="H7" s="335"/>
      <c r="I7" s="465" t="s">
        <v>190</v>
      </c>
      <c r="J7" s="464">
        <v>7500</v>
      </c>
    </row>
    <row r="8" spans="1:10" x14ac:dyDescent="0.2">
      <c r="B8" s="358"/>
      <c r="C8" s="343"/>
      <c r="D8" s="353" t="s">
        <v>181</v>
      </c>
      <c r="E8" s="464">
        <v>72611</v>
      </c>
      <c r="F8" s="464">
        <v>79872</v>
      </c>
      <c r="G8" s="464">
        <v>87133</v>
      </c>
      <c r="H8" s="335"/>
      <c r="I8" s="465" t="s">
        <v>191</v>
      </c>
      <c r="J8" s="464">
        <v>5000</v>
      </c>
    </row>
    <row r="9" spans="1:10" x14ac:dyDescent="0.2">
      <c r="B9" s="358"/>
      <c r="C9" s="343"/>
      <c r="D9" s="353" t="s">
        <v>182</v>
      </c>
      <c r="E9" s="464">
        <v>75912</v>
      </c>
      <c r="F9" s="464">
        <v>83503</v>
      </c>
      <c r="G9" s="464">
        <v>91094</v>
      </c>
      <c r="H9" s="335"/>
      <c r="I9" s="465" t="s">
        <v>192</v>
      </c>
      <c r="J9" s="464">
        <v>2500</v>
      </c>
    </row>
    <row r="10" spans="1:10" x14ac:dyDescent="0.2">
      <c r="B10" s="358"/>
      <c r="C10" s="343"/>
      <c r="D10" s="353" t="s">
        <v>183</v>
      </c>
      <c r="E10" s="464">
        <v>79212</v>
      </c>
      <c r="F10" s="464">
        <v>87133</v>
      </c>
      <c r="G10" s="464">
        <v>95054</v>
      </c>
      <c r="H10" s="335"/>
      <c r="I10" s="465" t="s">
        <v>193</v>
      </c>
      <c r="J10" s="464">
        <v>1000</v>
      </c>
    </row>
    <row r="11" spans="1:10" x14ac:dyDescent="0.2">
      <c r="B11" s="337"/>
    </row>
    <row r="12" spans="1:10" s="334" customFormat="1" x14ac:dyDescent="0.2">
      <c r="B12" s="337" t="s">
        <v>212</v>
      </c>
    </row>
    <row r="13" spans="1:10" s="334" customFormat="1" x14ac:dyDescent="0.2">
      <c r="B13" s="337"/>
      <c r="C13" s="57" t="s">
        <v>209</v>
      </c>
    </row>
    <row r="14" spans="1:10" s="334" customFormat="1" ht="25.5" x14ac:dyDescent="0.2">
      <c r="B14" s="442" t="s">
        <v>285</v>
      </c>
      <c r="D14" s="359" t="s">
        <v>175</v>
      </c>
      <c r="E14" s="359" t="s">
        <v>176</v>
      </c>
      <c r="F14" s="352" t="s">
        <v>177</v>
      </c>
      <c r="G14" s="362" t="s">
        <v>178</v>
      </c>
      <c r="I14" s="503" t="s">
        <v>239</v>
      </c>
      <c r="J14" s="504" t="s">
        <v>197</v>
      </c>
    </row>
    <row r="15" spans="1:10" s="334" customFormat="1" x14ac:dyDescent="0.2">
      <c r="D15" s="364" t="s">
        <v>187</v>
      </c>
      <c r="E15" s="408">
        <v>68125</v>
      </c>
      <c r="F15" s="408">
        <v>74938</v>
      </c>
      <c r="G15" s="408">
        <v>81750</v>
      </c>
      <c r="I15" s="417" t="s">
        <v>189</v>
      </c>
      <c r="J15" s="418">
        <v>15000</v>
      </c>
    </row>
    <row r="16" spans="1:10" s="334" customFormat="1" x14ac:dyDescent="0.2">
      <c r="D16" s="364" t="s">
        <v>188</v>
      </c>
      <c r="E16" s="408">
        <v>71531</v>
      </c>
      <c r="F16" s="408">
        <v>78684</v>
      </c>
      <c r="G16" s="408">
        <v>85837</v>
      </c>
      <c r="I16" s="417" t="s">
        <v>190</v>
      </c>
      <c r="J16" s="418">
        <v>10000</v>
      </c>
    </row>
    <row r="17" spans="2:10" s="334" customFormat="1" x14ac:dyDescent="0.2">
      <c r="D17" s="364" t="s">
        <v>180</v>
      </c>
      <c r="E17" s="408">
        <v>74938</v>
      </c>
      <c r="F17" s="408">
        <v>82432</v>
      </c>
      <c r="G17" s="408">
        <v>89926</v>
      </c>
      <c r="I17" s="417" t="s">
        <v>191</v>
      </c>
      <c r="J17" s="418">
        <v>5000</v>
      </c>
    </row>
    <row r="18" spans="2:10" s="334" customFormat="1" x14ac:dyDescent="0.2">
      <c r="D18" s="364" t="s">
        <v>181</v>
      </c>
      <c r="E18" s="408">
        <v>78344</v>
      </c>
      <c r="F18" s="408">
        <v>86178</v>
      </c>
      <c r="G18" s="408">
        <v>94013</v>
      </c>
      <c r="I18" s="417" t="s">
        <v>192</v>
      </c>
      <c r="J18" s="418">
        <v>2500</v>
      </c>
    </row>
    <row r="19" spans="2:10" s="334" customFormat="1" x14ac:dyDescent="0.2">
      <c r="D19" s="364" t="s">
        <v>185</v>
      </c>
      <c r="E19" s="408">
        <v>81750</v>
      </c>
      <c r="F19" s="408">
        <v>89925</v>
      </c>
      <c r="G19" s="408">
        <v>98100</v>
      </c>
      <c r="I19" s="417" t="s">
        <v>193</v>
      </c>
      <c r="J19" s="418">
        <v>1000</v>
      </c>
    </row>
    <row r="20" spans="2:10" s="334" customFormat="1" x14ac:dyDescent="0.2">
      <c r="D20" s="364" t="s">
        <v>186</v>
      </c>
      <c r="E20" s="408">
        <v>85156</v>
      </c>
      <c r="F20" s="408">
        <v>93672</v>
      </c>
      <c r="G20" s="408">
        <v>102187</v>
      </c>
    </row>
    <row r="22" spans="2:10" x14ac:dyDescent="0.2">
      <c r="B22" s="337" t="s">
        <v>213</v>
      </c>
    </row>
    <row r="23" spans="2:10" x14ac:dyDescent="0.2">
      <c r="B23" s="337" t="s">
        <v>184</v>
      </c>
      <c r="C23" s="57" t="s">
        <v>214</v>
      </c>
    </row>
    <row r="25" spans="2:10" x14ac:dyDescent="0.2">
      <c r="B25" s="115" t="s">
        <v>286</v>
      </c>
    </row>
    <row r="26" spans="2:10" x14ac:dyDescent="0.2">
      <c r="C26" s="57" t="s">
        <v>194</v>
      </c>
    </row>
    <row r="27" spans="2:10" ht="25.5" customHeight="1" x14ac:dyDescent="0.2">
      <c r="C27" s="502" t="s">
        <v>195</v>
      </c>
      <c r="D27" s="502"/>
      <c r="E27" s="502"/>
      <c r="F27" s="502"/>
      <c r="G27" s="502"/>
      <c r="H27" s="502"/>
      <c r="I27" s="502"/>
    </row>
    <row r="28" spans="2:10" s="334" customFormat="1" ht="15.75" customHeight="1" x14ac:dyDescent="0.2">
      <c r="C28" s="433"/>
      <c r="D28" s="433"/>
      <c r="E28" s="433"/>
      <c r="F28" s="433"/>
      <c r="G28" s="433"/>
      <c r="H28" s="433"/>
      <c r="I28" s="433"/>
    </row>
    <row r="29" spans="2:10" s="334" customFormat="1" x14ac:dyDescent="0.2">
      <c r="B29" s="337" t="s">
        <v>211</v>
      </c>
    </row>
    <row r="30" spans="2:10" x14ac:dyDescent="0.2">
      <c r="B30" s="337"/>
      <c r="C30" s="57" t="s">
        <v>210</v>
      </c>
    </row>
    <row r="31" spans="2:10" s="334" customFormat="1" ht="25.5" x14ac:dyDescent="0.2">
      <c r="B31" s="363" t="s">
        <v>196</v>
      </c>
      <c r="D31" s="359" t="s">
        <v>175</v>
      </c>
      <c r="E31" s="359" t="s">
        <v>176</v>
      </c>
      <c r="F31" s="362" t="s">
        <v>177</v>
      </c>
      <c r="G31" s="362" t="s">
        <v>178</v>
      </c>
      <c r="I31" s="503" t="s">
        <v>239</v>
      </c>
      <c r="J31" s="504"/>
    </row>
    <row r="32" spans="2:10" s="334" customFormat="1" x14ac:dyDescent="0.2">
      <c r="B32" s="337"/>
      <c r="D32" s="360" t="s">
        <v>179</v>
      </c>
      <c r="E32" s="361" t="s">
        <v>199</v>
      </c>
      <c r="F32" s="361" t="s">
        <v>202</v>
      </c>
      <c r="G32" s="361" t="s">
        <v>200</v>
      </c>
      <c r="I32" s="417" t="s">
        <v>189</v>
      </c>
      <c r="J32" s="418">
        <v>10000</v>
      </c>
    </row>
    <row r="33" spans="2:10" s="334" customFormat="1" x14ac:dyDescent="0.2">
      <c r="B33" s="337"/>
      <c r="D33" s="360" t="s">
        <v>180</v>
      </c>
      <c r="E33" s="361" t="s">
        <v>203</v>
      </c>
      <c r="F33" s="361" t="s">
        <v>204</v>
      </c>
      <c r="G33" s="361" t="s">
        <v>201</v>
      </c>
      <c r="I33" s="417" t="s">
        <v>190</v>
      </c>
      <c r="J33" s="418">
        <v>7500</v>
      </c>
    </row>
    <row r="34" spans="2:10" s="334" customFormat="1" x14ac:dyDescent="0.2">
      <c r="B34" s="337"/>
      <c r="D34" s="360" t="s">
        <v>181</v>
      </c>
      <c r="E34" s="361" t="s">
        <v>202</v>
      </c>
      <c r="F34" s="361" t="s">
        <v>200</v>
      </c>
      <c r="G34" s="361" t="s">
        <v>205</v>
      </c>
      <c r="I34" s="417" t="s">
        <v>191</v>
      </c>
      <c r="J34" s="418">
        <v>5000</v>
      </c>
    </row>
    <row r="35" spans="2:10" s="334" customFormat="1" x14ac:dyDescent="0.2">
      <c r="B35" s="337"/>
      <c r="D35" s="360" t="s">
        <v>182</v>
      </c>
      <c r="E35" s="361" t="s">
        <v>204</v>
      </c>
      <c r="F35" s="361" t="s">
        <v>201</v>
      </c>
      <c r="G35" s="361" t="s">
        <v>206</v>
      </c>
      <c r="I35" s="417" t="s">
        <v>192</v>
      </c>
      <c r="J35" s="418">
        <v>2500</v>
      </c>
    </row>
    <row r="36" spans="2:10" s="334" customFormat="1" x14ac:dyDescent="0.2">
      <c r="B36" s="337"/>
      <c r="D36" s="360" t="s">
        <v>198</v>
      </c>
      <c r="E36" s="361" t="s">
        <v>200</v>
      </c>
      <c r="F36" s="361" t="s">
        <v>205</v>
      </c>
      <c r="G36" s="361" t="s">
        <v>207</v>
      </c>
      <c r="I36" s="417" t="s">
        <v>193</v>
      </c>
      <c r="J36" s="418">
        <v>1000</v>
      </c>
    </row>
    <row r="37" spans="2:10" s="334" customFormat="1" x14ac:dyDescent="0.2">
      <c r="B37" s="337"/>
      <c r="D37" s="364" t="s">
        <v>186</v>
      </c>
      <c r="E37" s="361" t="s">
        <v>201</v>
      </c>
      <c r="F37" s="361" t="s">
        <v>206</v>
      </c>
      <c r="G37" s="361" t="s">
        <v>208</v>
      </c>
    </row>
    <row r="38" spans="2:10" s="334" customFormat="1" x14ac:dyDescent="0.2">
      <c r="B38" s="337"/>
    </row>
    <row r="39" spans="2:10" s="334" customFormat="1" x14ac:dyDescent="0.2">
      <c r="B39" s="337" t="s">
        <v>212</v>
      </c>
    </row>
    <row r="40" spans="2:10" x14ac:dyDescent="0.2">
      <c r="B40" s="337"/>
      <c r="C40" s="57" t="s">
        <v>209</v>
      </c>
    </row>
    <row r="41" spans="2:10" ht="25.5" x14ac:dyDescent="0.2">
      <c r="B41" s="363" t="s">
        <v>197</v>
      </c>
      <c r="D41" s="351" t="s">
        <v>175</v>
      </c>
      <c r="E41" s="351" t="s">
        <v>176</v>
      </c>
      <c r="F41" s="352" t="s">
        <v>177</v>
      </c>
      <c r="G41" s="357" t="s">
        <v>178</v>
      </c>
      <c r="I41" s="503" t="s">
        <v>239</v>
      </c>
      <c r="J41" s="504" t="s">
        <v>197</v>
      </c>
    </row>
    <row r="42" spans="2:10" x14ac:dyDescent="0.2">
      <c r="D42" s="364" t="s">
        <v>187</v>
      </c>
      <c r="E42" s="354">
        <v>68125</v>
      </c>
      <c r="F42" s="354">
        <v>74938</v>
      </c>
      <c r="G42" s="354">
        <v>81750</v>
      </c>
      <c r="I42" s="417" t="s">
        <v>189</v>
      </c>
      <c r="J42" s="418">
        <v>15000</v>
      </c>
    </row>
    <row r="43" spans="2:10" x14ac:dyDescent="0.2">
      <c r="D43" s="364" t="s">
        <v>188</v>
      </c>
      <c r="E43" s="354">
        <v>71531</v>
      </c>
      <c r="F43" s="354">
        <v>78684</v>
      </c>
      <c r="G43" s="354">
        <v>85837</v>
      </c>
      <c r="I43" s="417" t="s">
        <v>190</v>
      </c>
      <c r="J43" s="418">
        <v>10000</v>
      </c>
    </row>
    <row r="44" spans="2:10" x14ac:dyDescent="0.2">
      <c r="D44" s="364" t="s">
        <v>180</v>
      </c>
      <c r="E44" s="354">
        <v>74938</v>
      </c>
      <c r="F44" s="354">
        <v>82432</v>
      </c>
      <c r="G44" s="354">
        <v>89926</v>
      </c>
      <c r="I44" s="417" t="s">
        <v>191</v>
      </c>
      <c r="J44" s="418">
        <v>5000</v>
      </c>
    </row>
    <row r="45" spans="2:10" x14ac:dyDescent="0.2">
      <c r="D45" s="364" t="s">
        <v>181</v>
      </c>
      <c r="E45" s="354">
        <v>78344</v>
      </c>
      <c r="F45" s="354">
        <v>86178</v>
      </c>
      <c r="G45" s="354">
        <v>94013</v>
      </c>
      <c r="I45" s="417" t="s">
        <v>192</v>
      </c>
      <c r="J45" s="418">
        <v>2500</v>
      </c>
    </row>
    <row r="46" spans="2:10" s="334" customFormat="1" x14ac:dyDescent="0.2">
      <c r="D46" s="364" t="s">
        <v>185</v>
      </c>
      <c r="E46" s="354">
        <v>81750</v>
      </c>
      <c r="F46" s="354">
        <v>89925</v>
      </c>
      <c r="G46" s="354">
        <v>98100</v>
      </c>
      <c r="I46" s="417" t="s">
        <v>193</v>
      </c>
      <c r="J46" s="418">
        <v>1000</v>
      </c>
    </row>
    <row r="47" spans="2:10" x14ac:dyDescent="0.2">
      <c r="D47" s="364" t="s">
        <v>186</v>
      </c>
      <c r="E47" s="354">
        <v>85156</v>
      </c>
      <c r="F47" s="354">
        <v>93672</v>
      </c>
      <c r="G47" s="354">
        <v>102187</v>
      </c>
    </row>
    <row r="49" spans="1:7" x14ac:dyDescent="0.2">
      <c r="A49" s="337" t="s">
        <v>215</v>
      </c>
    </row>
    <row r="51" spans="1:7" x14ac:dyDescent="0.2">
      <c r="B51" s="337" t="s">
        <v>196</v>
      </c>
      <c r="D51" s="57" t="s">
        <v>216</v>
      </c>
      <c r="G51" s="57" t="s">
        <v>217</v>
      </c>
    </row>
    <row r="52" spans="1:7" x14ac:dyDescent="0.2">
      <c r="B52" s="337"/>
      <c r="D52" s="57" t="s">
        <v>218</v>
      </c>
    </row>
    <row r="53" spans="1:7" x14ac:dyDescent="0.2">
      <c r="B53" s="337"/>
    </row>
    <row r="54" spans="1:7" x14ac:dyDescent="0.2">
      <c r="B54" s="115" t="s">
        <v>287</v>
      </c>
    </row>
    <row r="55" spans="1:7" x14ac:dyDescent="0.2">
      <c r="D55" s="57" t="s">
        <v>219</v>
      </c>
    </row>
  </sheetData>
  <mergeCells count="5">
    <mergeCell ref="C27:I27"/>
    <mergeCell ref="I31:J31"/>
    <mergeCell ref="I5:J5"/>
    <mergeCell ref="I41:J41"/>
    <mergeCell ref="I14:J14"/>
  </mergeCells>
  <pageMargins left="0.7" right="0.7" top="0.75" bottom="0.75" header="0.3" footer="0.3"/>
  <pageSetup scale="90" orientation="portrait" r:id="rId1"/>
  <headerFooter>
    <oddFooter>&amp;L&amp;"Arial,Italic"&amp;9Division of School Business
NC Department of Public Instruction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workbookViewId="0">
      <selection activeCell="A2" sqref="A2"/>
    </sheetView>
  </sheetViews>
  <sheetFormatPr defaultRowHeight="12.75" x14ac:dyDescent="0.2"/>
  <cols>
    <col min="2" max="2" width="11.140625" customWidth="1"/>
    <col min="9" max="9" width="11.5703125" bestFit="1" customWidth="1"/>
  </cols>
  <sheetData>
    <row r="1" spans="1:9" x14ac:dyDescent="0.2">
      <c r="A1" s="102" t="s">
        <v>245</v>
      </c>
      <c r="C1" s="57"/>
      <c r="D1" s="54"/>
      <c r="I1" s="102"/>
    </row>
    <row r="2" spans="1:9" x14ac:dyDescent="0.2">
      <c r="A2" s="102"/>
      <c r="D2" s="54"/>
    </row>
    <row r="3" spans="1:9" x14ac:dyDescent="0.2">
      <c r="A3" s="107" t="s">
        <v>134</v>
      </c>
      <c r="D3" s="102"/>
    </row>
    <row r="4" spans="1:9" x14ac:dyDescent="0.2">
      <c r="A4" s="123"/>
      <c r="D4" s="54"/>
    </row>
    <row r="5" spans="1:9" ht="90" x14ac:dyDescent="0.25">
      <c r="A5" s="124" t="s">
        <v>35</v>
      </c>
      <c r="B5" s="306" t="s">
        <v>135</v>
      </c>
      <c r="C5" s="124" t="s">
        <v>136</v>
      </c>
      <c r="D5" s="124" t="s">
        <v>34</v>
      </c>
      <c r="E5" s="124" t="s">
        <v>172</v>
      </c>
      <c r="F5" s="306" t="s">
        <v>137</v>
      </c>
      <c r="G5" s="306" t="s">
        <v>39</v>
      </c>
    </row>
    <row r="6" spans="1:9" ht="15" x14ac:dyDescent="0.25">
      <c r="A6" s="125">
        <v>0</v>
      </c>
      <c r="B6" s="311">
        <v>35000</v>
      </c>
      <c r="C6" s="127"/>
      <c r="D6" s="310">
        <f>E6-B6</f>
        <v>0</v>
      </c>
      <c r="E6" s="127">
        <v>35000</v>
      </c>
      <c r="F6" s="320"/>
      <c r="G6" s="165"/>
    </row>
    <row r="7" spans="1:9" ht="15" x14ac:dyDescent="0.25">
      <c r="A7" s="128">
        <v>1</v>
      </c>
      <c r="B7" s="312">
        <v>36000</v>
      </c>
      <c r="C7" s="130">
        <f>B7-B6</f>
        <v>1000</v>
      </c>
      <c r="D7" s="309">
        <f>E7-B7</f>
        <v>0</v>
      </c>
      <c r="E7" s="130">
        <v>36000</v>
      </c>
      <c r="F7" s="321">
        <f>E7-B6</f>
        <v>1000</v>
      </c>
      <c r="G7" s="307">
        <f>F7/B6</f>
        <v>2.8571428571428571E-2</v>
      </c>
    </row>
    <row r="8" spans="1:9" ht="15" x14ac:dyDescent="0.25">
      <c r="A8" s="128">
        <v>2</v>
      </c>
      <c r="B8" s="312">
        <v>37000</v>
      </c>
      <c r="C8" s="130">
        <f t="shared" ref="C8:C35" si="0">B8-B7</f>
        <v>1000</v>
      </c>
      <c r="D8" s="309">
        <f t="shared" ref="D8:D35" si="1">E8-B8</f>
        <v>0</v>
      </c>
      <c r="E8" s="130">
        <v>37000</v>
      </c>
      <c r="F8" s="321">
        <f t="shared" ref="F8:F36" si="2">E8-B7</f>
        <v>1000</v>
      </c>
      <c r="G8" s="307">
        <f>F8/B7</f>
        <v>2.7777777777777776E-2</v>
      </c>
    </row>
    <row r="9" spans="1:9" ht="15" x14ac:dyDescent="0.25">
      <c r="A9" s="128">
        <v>3</v>
      </c>
      <c r="B9" s="312">
        <v>38000</v>
      </c>
      <c r="C9" s="130">
        <f t="shared" si="0"/>
        <v>1000</v>
      </c>
      <c r="D9" s="309">
        <f t="shared" si="1"/>
        <v>0</v>
      </c>
      <c r="E9" s="130">
        <v>38000</v>
      </c>
      <c r="F9" s="321">
        <f t="shared" si="2"/>
        <v>1000</v>
      </c>
      <c r="G9" s="307">
        <f t="shared" ref="G9:G36" si="3">F9/B8</f>
        <v>2.7027027027027029E-2</v>
      </c>
    </row>
    <row r="10" spans="1:9" ht="15" x14ac:dyDescent="0.25">
      <c r="A10" s="128">
        <v>4</v>
      </c>
      <c r="B10" s="312">
        <v>39000</v>
      </c>
      <c r="C10" s="130">
        <f t="shared" si="0"/>
        <v>1000</v>
      </c>
      <c r="D10" s="309">
        <f t="shared" si="1"/>
        <v>0</v>
      </c>
      <c r="E10" s="130">
        <v>39000</v>
      </c>
      <c r="F10" s="321">
        <f t="shared" si="2"/>
        <v>1000</v>
      </c>
      <c r="G10" s="307">
        <f t="shared" si="3"/>
        <v>2.6315789473684209E-2</v>
      </c>
    </row>
    <row r="11" spans="1:9" ht="15" x14ac:dyDescent="0.25">
      <c r="A11" s="128">
        <v>5</v>
      </c>
      <c r="B11" s="312">
        <v>40000</v>
      </c>
      <c r="C11" s="130">
        <f t="shared" si="0"/>
        <v>1000</v>
      </c>
      <c r="D11" s="309">
        <f t="shared" si="1"/>
        <v>0</v>
      </c>
      <c r="E11" s="130">
        <v>40000</v>
      </c>
      <c r="F11" s="321">
        <f t="shared" si="2"/>
        <v>1000</v>
      </c>
      <c r="G11" s="307">
        <f t="shared" si="3"/>
        <v>2.564102564102564E-2</v>
      </c>
    </row>
    <row r="12" spans="1:9" ht="15" x14ac:dyDescent="0.25">
      <c r="A12" s="128">
        <v>6</v>
      </c>
      <c r="B12" s="312">
        <v>41000</v>
      </c>
      <c r="C12" s="130">
        <f t="shared" si="0"/>
        <v>1000</v>
      </c>
      <c r="D12" s="309">
        <f t="shared" si="1"/>
        <v>0</v>
      </c>
      <c r="E12" s="130">
        <v>41000</v>
      </c>
      <c r="F12" s="321">
        <f t="shared" si="2"/>
        <v>1000</v>
      </c>
      <c r="G12" s="307">
        <f t="shared" si="3"/>
        <v>2.5000000000000001E-2</v>
      </c>
    </row>
    <row r="13" spans="1:9" ht="15" x14ac:dyDescent="0.25">
      <c r="A13" s="128">
        <v>7</v>
      </c>
      <c r="B13" s="312">
        <v>42000</v>
      </c>
      <c r="C13" s="130">
        <f t="shared" si="0"/>
        <v>1000</v>
      </c>
      <c r="D13" s="309">
        <f t="shared" si="1"/>
        <v>0</v>
      </c>
      <c r="E13" s="130">
        <v>42000</v>
      </c>
      <c r="F13" s="321">
        <f t="shared" si="2"/>
        <v>1000</v>
      </c>
      <c r="G13" s="307">
        <f t="shared" si="3"/>
        <v>2.4390243902439025E-2</v>
      </c>
    </row>
    <row r="14" spans="1:9" ht="15" x14ac:dyDescent="0.25">
      <c r="A14" s="128">
        <v>8</v>
      </c>
      <c r="B14" s="312">
        <v>43000</v>
      </c>
      <c r="C14" s="130">
        <f t="shared" si="0"/>
        <v>1000</v>
      </c>
      <c r="D14" s="309">
        <f t="shared" si="1"/>
        <v>0</v>
      </c>
      <c r="E14" s="130">
        <v>43000</v>
      </c>
      <c r="F14" s="321">
        <f>E14-B13</f>
        <v>1000</v>
      </c>
      <c r="G14" s="307">
        <f t="shared" si="3"/>
        <v>2.3809523809523808E-2</v>
      </c>
    </row>
    <row r="15" spans="1:9" ht="15" x14ac:dyDescent="0.25">
      <c r="A15" s="128">
        <v>9</v>
      </c>
      <c r="B15" s="312">
        <v>44000</v>
      </c>
      <c r="C15" s="130">
        <f t="shared" si="0"/>
        <v>1000</v>
      </c>
      <c r="D15" s="309">
        <f t="shared" si="1"/>
        <v>0</v>
      </c>
      <c r="E15" s="130">
        <v>44000</v>
      </c>
      <c r="F15" s="321">
        <f t="shared" si="2"/>
        <v>1000</v>
      </c>
      <c r="G15" s="307">
        <f t="shared" si="3"/>
        <v>2.3255813953488372E-2</v>
      </c>
    </row>
    <row r="16" spans="1:9" ht="15" x14ac:dyDescent="0.25">
      <c r="A16" s="128">
        <v>10</v>
      </c>
      <c r="B16" s="312">
        <v>45000</v>
      </c>
      <c r="C16" s="130">
        <f t="shared" si="0"/>
        <v>1000</v>
      </c>
      <c r="D16" s="309">
        <f t="shared" si="1"/>
        <v>0</v>
      </c>
      <c r="E16" s="130">
        <v>45000</v>
      </c>
      <c r="F16" s="321">
        <f t="shared" si="2"/>
        <v>1000</v>
      </c>
      <c r="G16" s="307">
        <f t="shared" si="3"/>
        <v>2.2727272727272728E-2</v>
      </c>
    </row>
    <row r="17" spans="1:9" ht="15" x14ac:dyDescent="0.25">
      <c r="A17" s="128">
        <v>11</v>
      </c>
      <c r="B17" s="312">
        <v>46000</v>
      </c>
      <c r="C17" s="130">
        <f t="shared" si="0"/>
        <v>1000</v>
      </c>
      <c r="D17" s="309">
        <f t="shared" si="1"/>
        <v>0</v>
      </c>
      <c r="E17" s="130">
        <v>46000</v>
      </c>
      <c r="F17" s="321">
        <f t="shared" si="2"/>
        <v>1000</v>
      </c>
      <c r="G17" s="307">
        <f t="shared" si="3"/>
        <v>2.2222222222222223E-2</v>
      </c>
    </row>
    <row r="18" spans="1:9" ht="15" x14ac:dyDescent="0.25">
      <c r="A18" s="128">
        <v>12</v>
      </c>
      <c r="B18" s="312">
        <v>47000</v>
      </c>
      <c r="C18" s="130">
        <f t="shared" si="0"/>
        <v>1000</v>
      </c>
      <c r="D18" s="309">
        <f t="shared" si="1"/>
        <v>0</v>
      </c>
      <c r="E18" s="130">
        <v>47000</v>
      </c>
      <c r="F18" s="321">
        <f t="shared" si="2"/>
        <v>1000</v>
      </c>
      <c r="G18" s="307">
        <f t="shared" si="3"/>
        <v>2.1739130434782608E-2</v>
      </c>
    </row>
    <row r="19" spans="1:9" ht="15" x14ac:dyDescent="0.25">
      <c r="A19" s="128">
        <v>13</v>
      </c>
      <c r="B19" s="312">
        <v>48000</v>
      </c>
      <c r="C19" s="130">
        <f t="shared" si="0"/>
        <v>1000</v>
      </c>
      <c r="D19" s="309">
        <f t="shared" si="1"/>
        <v>0</v>
      </c>
      <c r="E19" s="130">
        <v>48000</v>
      </c>
      <c r="F19" s="321">
        <f t="shared" si="2"/>
        <v>1000</v>
      </c>
      <c r="G19" s="307">
        <f t="shared" si="3"/>
        <v>2.1276595744680851E-2</v>
      </c>
    </row>
    <row r="20" spans="1:9" ht="15" x14ac:dyDescent="0.25">
      <c r="A20" s="128">
        <v>14</v>
      </c>
      <c r="B20" s="312">
        <v>49000</v>
      </c>
      <c r="C20" s="130">
        <f t="shared" si="0"/>
        <v>1000</v>
      </c>
      <c r="D20" s="309">
        <f t="shared" si="1"/>
        <v>0</v>
      </c>
      <c r="E20" s="130">
        <v>49000</v>
      </c>
      <c r="F20" s="321">
        <f t="shared" si="2"/>
        <v>1000</v>
      </c>
      <c r="G20" s="307">
        <f t="shared" si="3"/>
        <v>2.0833333333333332E-2</v>
      </c>
    </row>
    <row r="21" spans="1:9" ht="15" x14ac:dyDescent="0.25">
      <c r="A21" s="128">
        <v>15</v>
      </c>
      <c r="B21" s="312">
        <v>50000</v>
      </c>
      <c r="C21" s="130">
        <f t="shared" si="0"/>
        <v>1000</v>
      </c>
      <c r="D21" s="309">
        <f t="shared" si="1"/>
        <v>0</v>
      </c>
      <c r="E21" s="130">
        <v>50000</v>
      </c>
      <c r="F21" s="321">
        <f t="shared" si="2"/>
        <v>1000</v>
      </c>
      <c r="G21" s="307">
        <f t="shared" si="3"/>
        <v>2.0408163265306121E-2</v>
      </c>
    </row>
    <row r="22" spans="1:9" ht="15" x14ac:dyDescent="0.25">
      <c r="A22" s="128">
        <v>16</v>
      </c>
      <c r="B22" s="312">
        <v>50000</v>
      </c>
      <c r="C22" s="130">
        <f t="shared" si="0"/>
        <v>0</v>
      </c>
      <c r="D22" s="309">
        <f t="shared" si="1"/>
        <v>500</v>
      </c>
      <c r="E22" s="130">
        <v>50500</v>
      </c>
      <c r="F22" s="321">
        <f t="shared" si="2"/>
        <v>500</v>
      </c>
      <c r="G22" s="307">
        <f t="shared" si="3"/>
        <v>0.01</v>
      </c>
    </row>
    <row r="23" spans="1:9" ht="15" x14ac:dyDescent="0.25">
      <c r="A23" s="128">
        <v>17</v>
      </c>
      <c r="B23" s="312">
        <v>50000</v>
      </c>
      <c r="C23" s="130">
        <f t="shared" si="0"/>
        <v>0</v>
      </c>
      <c r="D23" s="309">
        <f t="shared" si="1"/>
        <v>1000</v>
      </c>
      <c r="E23" s="130">
        <v>51000</v>
      </c>
      <c r="F23" s="321">
        <f t="shared" si="2"/>
        <v>1000</v>
      </c>
      <c r="G23" s="307">
        <f t="shared" si="3"/>
        <v>0.02</v>
      </c>
    </row>
    <row r="24" spans="1:9" ht="15" x14ac:dyDescent="0.25">
      <c r="A24" s="128">
        <v>18</v>
      </c>
      <c r="B24" s="312">
        <v>50000</v>
      </c>
      <c r="C24" s="130">
        <f t="shared" si="0"/>
        <v>0</v>
      </c>
      <c r="D24" s="309">
        <f t="shared" si="1"/>
        <v>1500</v>
      </c>
      <c r="E24" s="130">
        <v>51500</v>
      </c>
      <c r="F24" s="321">
        <f t="shared" si="2"/>
        <v>1500</v>
      </c>
      <c r="G24" s="307">
        <f t="shared" si="3"/>
        <v>0.03</v>
      </c>
    </row>
    <row r="25" spans="1:9" ht="15" x14ac:dyDescent="0.25">
      <c r="A25" s="128">
        <v>19</v>
      </c>
      <c r="B25" s="312">
        <v>50000</v>
      </c>
      <c r="C25" s="130">
        <f t="shared" si="0"/>
        <v>0</v>
      </c>
      <c r="D25" s="309">
        <f t="shared" si="1"/>
        <v>2000</v>
      </c>
      <c r="E25" s="130">
        <v>52000</v>
      </c>
      <c r="F25" s="321">
        <f t="shared" si="2"/>
        <v>2000</v>
      </c>
      <c r="G25" s="307">
        <f t="shared" si="3"/>
        <v>0.04</v>
      </c>
    </row>
    <row r="26" spans="1:9" ht="15" x14ac:dyDescent="0.25">
      <c r="A26" s="128">
        <v>20</v>
      </c>
      <c r="B26" s="312">
        <v>50000</v>
      </c>
      <c r="C26" s="130">
        <f t="shared" si="0"/>
        <v>0</v>
      </c>
      <c r="D26" s="309">
        <f t="shared" si="1"/>
        <v>2500</v>
      </c>
      <c r="E26" s="130">
        <v>52500</v>
      </c>
      <c r="F26" s="321">
        <f t="shared" si="2"/>
        <v>2500</v>
      </c>
      <c r="G26" s="307">
        <f t="shared" si="3"/>
        <v>0.05</v>
      </c>
    </row>
    <row r="27" spans="1:9" ht="15" x14ac:dyDescent="0.25">
      <c r="A27" s="128">
        <v>21</v>
      </c>
      <c r="B27" s="312">
        <v>50000</v>
      </c>
      <c r="C27" s="130">
        <f t="shared" si="0"/>
        <v>0</v>
      </c>
      <c r="D27" s="309">
        <f t="shared" si="1"/>
        <v>3000</v>
      </c>
      <c r="E27" s="130">
        <v>53000</v>
      </c>
      <c r="F27" s="321">
        <f t="shared" si="2"/>
        <v>3000</v>
      </c>
      <c r="G27" s="307">
        <f t="shared" si="3"/>
        <v>0.06</v>
      </c>
    </row>
    <row r="28" spans="1:9" ht="15" x14ac:dyDescent="0.25">
      <c r="A28" s="128">
        <v>22</v>
      </c>
      <c r="B28" s="312">
        <v>50000</v>
      </c>
      <c r="C28" s="130">
        <f t="shared" si="0"/>
        <v>0</v>
      </c>
      <c r="D28" s="309">
        <f t="shared" si="1"/>
        <v>3500</v>
      </c>
      <c r="E28" s="130">
        <v>53500</v>
      </c>
      <c r="F28" s="321">
        <f t="shared" si="2"/>
        <v>3500</v>
      </c>
      <c r="G28" s="307">
        <f t="shared" si="3"/>
        <v>7.0000000000000007E-2</v>
      </c>
    </row>
    <row r="29" spans="1:9" ht="15" x14ac:dyDescent="0.25">
      <c r="A29" s="128">
        <v>23</v>
      </c>
      <c r="B29" s="312">
        <v>50000</v>
      </c>
      <c r="C29" s="130">
        <f t="shared" si="0"/>
        <v>0</v>
      </c>
      <c r="D29" s="309">
        <f t="shared" si="1"/>
        <v>4000</v>
      </c>
      <c r="E29" s="130">
        <v>54000</v>
      </c>
      <c r="F29" s="321">
        <f t="shared" si="2"/>
        <v>4000</v>
      </c>
      <c r="G29" s="307">
        <f t="shared" si="3"/>
        <v>0.08</v>
      </c>
    </row>
    <row r="30" spans="1:9" ht="15" x14ac:dyDescent="0.25">
      <c r="A30" s="128">
        <v>24</v>
      </c>
      <c r="B30" s="312">
        <v>50000</v>
      </c>
      <c r="C30" s="130">
        <f t="shared" si="0"/>
        <v>0</v>
      </c>
      <c r="D30" s="309">
        <f t="shared" si="1"/>
        <v>4500</v>
      </c>
      <c r="E30" s="130">
        <v>54500</v>
      </c>
      <c r="F30" s="321">
        <f t="shared" si="2"/>
        <v>4500</v>
      </c>
      <c r="G30" s="307">
        <f t="shared" si="3"/>
        <v>0.09</v>
      </c>
    </row>
    <row r="31" spans="1:9" ht="15" x14ac:dyDescent="0.25">
      <c r="A31" s="128">
        <v>25</v>
      </c>
      <c r="B31" s="312">
        <v>52000</v>
      </c>
      <c r="C31" s="130">
        <f t="shared" si="0"/>
        <v>2000</v>
      </c>
      <c r="D31" s="309">
        <f t="shared" si="1"/>
        <v>3000</v>
      </c>
      <c r="E31" s="130">
        <v>55000</v>
      </c>
      <c r="F31" s="321">
        <f t="shared" si="2"/>
        <v>5000</v>
      </c>
      <c r="G31" s="307">
        <f t="shared" si="3"/>
        <v>0.1</v>
      </c>
      <c r="I31" s="317"/>
    </row>
    <row r="32" spans="1:9" ht="15" x14ac:dyDescent="0.25">
      <c r="A32" s="128">
        <v>26</v>
      </c>
      <c r="B32" s="312">
        <v>52000</v>
      </c>
      <c r="C32" s="130">
        <f t="shared" si="0"/>
        <v>0</v>
      </c>
      <c r="D32" s="309">
        <f t="shared" si="1"/>
        <v>3500</v>
      </c>
      <c r="E32" s="130">
        <v>55500</v>
      </c>
      <c r="F32" s="321">
        <f t="shared" si="2"/>
        <v>3500</v>
      </c>
      <c r="G32" s="307">
        <f t="shared" si="3"/>
        <v>6.7307692307692304E-2</v>
      </c>
    </row>
    <row r="33" spans="1:7" ht="15" x14ac:dyDescent="0.25">
      <c r="A33" s="128">
        <v>27</v>
      </c>
      <c r="B33" s="312">
        <v>52000</v>
      </c>
      <c r="C33" s="130">
        <f t="shared" si="0"/>
        <v>0</v>
      </c>
      <c r="D33" s="309">
        <f t="shared" si="1"/>
        <v>4000</v>
      </c>
      <c r="E33" s="130">
        <v>56000</v>
      </c>
      <c r="F33" s="321">
        <f t="shared" si="2"/>
        <v>4000</v>
      </c>
      <c r="G33" s="307">
        <f t="shared" si="3"/>
        <v>7.6923076923076927E-2</v>
      </c>
    </row>
    <row r="34" spans="1:7" ht="15" x14ac:dyDescent="0.25">
      <c r="A34" s="128">
        <v>28</v>
      </c>
      <c r="B34" s="312">
        <v>52000</v>
      </c>
      <c r="C34" s="130">
        <f t="shared" si="0"/>
        <v>0</v>
      </c>
      <c r="D34" s="309">
        <f t="shared" si="1"/>
        <v>4500</v>
      </c>
      <c r="E34" s="130">
        <v>56500</v>
      </c>
      <c r="F34" s="321">
        <f t="shared" si="2"/>
        <v>4500</v>
      </c>
      <c r="G34" s="307">
        <f t="shared" si="3"/>
        <v>8.6538461538461536E-2</v>
      </c>
    </row>
    <row r="35" spans="1:7" ht="15" x14ac:dyDescent="0.25">
      <c r="A35" s="128">
        <v>29</v>
      </c>
      <c r="B35" s="312">
        <v>52000</v>
      </c>
      <c r="C35" s="130">
        <f t="shared" si="0"/>
        <v>0</v>
      </c>
      <c r="D35" s="309">
        <f t="shared" si="1"/>
        <v>5000</v>
      </c>
      <c r="E35" s="130">
        <v>57000</v>
      </c>
      <c r="F35" s="321">
        <f t="shared" si="2"/>
        <v>5000</v>
      </c>
      <c r="G35" s="307">
        <f t="shared" si="3"/>
        <v>9.6153846153846159E-2</v>
      </c>
    </row>
    <row r="36" spans="1:7" ht="15" x14ac:dyDescent="0.25">
      <c r="A36" s="128">
        <v>30</v>
      </c>
      <c r="B36" s="313">
        <v>52000</v>
      </c>
      <c r="C36" s="135">
        <f>B35-B36</f>
        <v>0</v>
      </c>
      <c r="D36" s="314">
        <f>E36-B36</f>
        <v>8500</v>
      </c>
      <c r="E36" s="135">
        <v>60500</v>
      </c>
      <c r="F36" s="322">
        <f t="shared" si="2"/>
        <v>8500</v>
      </c>
      <c r="G36" s="308">
        <f t="shared" si="3"/>
        <v>0.16346153846153846</v>
      </c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workbookViewId="0">
      <selection activeCell="A2" sqref="A2"/>
    </sheetView>
  </sheetViews>
  <sheetFormatPr defaultColWidth="9.140625" defaultRowHeight="12.75" x14ac:dyDescent="0.2"/>
  <cols>
    <col min="1" max="1" width="9.140625" style="334"/>
    <col min="2" max="2" width="11.140625" style="334" customWidth="1"/>
    <col min="3" max="6" width="9.140625" style="334"/>
    <col min="7" max="7" width="10.5703125" style="334" bestFit="1" customWidth="1"/>
    <col min="8" max="16384" width="9.140625" style="334"/>
  </cols>
  <sheetData>
    <row r="1" spans="1:8" x14ac:dyDescent="0.2">
      <c r="A1" s="336" t="s">
        <v>246</v>
      </c>
      <c r="C1" s="335"/>
    </row>
    <row r="2" spans="1:8" x14ac:dyDescent="0.2">
      <c r="A2" s="336"/>
      <c r="C2" s="335"/>
    </row>
    <row r="3" spans="1:8" x14ac:dyDescent="0.2">
      <c r="A3" s="337" t="s">
        <v>171</v>
      </c>
      <c r="C3" s="336"/>
    </row>
    <row r="4" spans="1:8" x14ac:dyDescent="0.2">
      <c r="A4" s="338"/>
      <c r="C4" s="335"/>
    </row>
    <row r="5" spans="1:8" ht="90" x14ac:dyDescent="0.25">
      <c r="A5" s="124" t="s">
        <v>35</v>
      </c>
      <c r="B5" s="306" t="s">
        <v>135</v>
      </c>
      <c r="C5" s="124" t="s">
        <v>34</v>
      </c>
      <c r="D5" s="124" t="s">
        <v>238</v>
      </c>
      <c r="E5" s="306" t="s">
        <v>137</v>
      </c>
      <c r="F5" s="306" t="s">
        <v>39</v>
      </c>
      <c r="G5" s="306" t="s">
        <v>173</v>
      </c>
      <c r="H5" s="306" t="s">
        <v>174</v>
      </c>
    </row>
    <row r="6" spans="1:8" ht="15" x14ac:dyDescent="0.25">
      <c r="A6" s="125">
        <v>0</v>
      </c>
      <c r="B6" s="311">
        <v>35000</v>
      </c>
      <c r="C6" s="310">
        <f t="shared" ref="C6:C36" si="0">D6-B6</f>
        <v>0</v>
      </c>
      <c r="D6" s="165">
        <v>35000</v>
      </c>
      <c r="E6" s="320"/>
      <c r="F6" s="165"/>
      <c r="G6" s="340"/>
      <c r="H6" s="165"/>
    </row>
    <row r="7" spans="1:8" ht="15" x14ac:dyDescent="0.25">
      <c r="A7" s="128">
        <v>1</v>
      </c>
      <c r="B7" s="312">
        <v>36000</v>
      </c>
      <c r="C7" s="309">
        <f t="shared" si="0"/>
        <v>180</v>
      </c>
      <c r="D7" s="333">
        <v>36180</v>
      </c>
      <c r="E7" s="321">
        <f t="shared" ref="E7:E36" si="1">D7-B6</f>
        <v>1180</v>
      </c>
      <c r="F7" s="307">
        <f t="shared" ref="F7:F36" si="2">E7/B6</f>
        <v>3.3714285714285717E-2</v>
      </c>
      <c r="G7" s="341"/>
      <c r="H7" s="307">
        <f>(E7+G7)/B6</f>
        <v>3.3714285714285717E-2</v>
      </c>
    </row>
    <row r="8" spans="1:8" ht="15" x14ac:dyDescent="0.25">
      <c r="A8" s="128">
        <v>2</v>
      </c>
      <c r="B8" s="312">
        <v>37000</v>
      </c>
      <c r="C8" s="309">
        <f t="shared" si="0"/>
        <v>190</v>
      </c>
      <c r="D8" s="333">
        <v>37190</v>
      </c>
      <c r="E8" s="321">
        <f t="shared" si="1"/>
        <v>1190</v>
      </c>
      <c r="F8" s="307">
        <f t="shared" si="2"/>
        <v>3.3055555555555553E-2</v>
      </c>
      <c r="G8" s="341"/>
      <c r="H8" s="307">
        <f t="shared" ref="H8:H36" si="3">(E8+G8)/B7</f>
        <v>3.3055555555555553E-2</v>
      </c>
    </row>
    <row r="9" spans="1:8" ht="15" x14ac:dyDescent="0.25">
      <c r="A9" s="128">
        <v>3</v>
      </c>
      <c r="B9" s="312">
        <v>38000</v>
      </c>
      <c r="C9" s="309">
        <f t="shared" si="0"/>
        <v>190</v>
      </c>
      <c r="D9" s="333">
        <v>38190</v>
      </c>
      <c r="E9" s="321">
        <f t="shared" si="1"/>
        <v>1190</v>
      </c>
      <c r="F9" s="307">
        <f t="shared" si="2"/>
        <v>3.216216216216216E-2</v>
      </c>
      <c r="G9" s="341"/>
      <c r="H9" s="307">
        <f t="shared" si="3"/>
        <v>3.216216216216216E-2</v>
      </c>
    </row>
    <row r="10" spans="1:8" ht="15" x14ac:dyDescent="0.25">
      <c r="A10" s="128">
        <v>4</v>
      </c>
      <c r="B10" s="312">
        <v>39000</v>
      </c>
      <c r="C10" s="309">
        <f t="shared" si="0"/>
        <v>200</v>
      </c>
      <c r="D10" s="333">
        <v>39200</v>
      </c>
      <c r="E10" s="321">
        <f t="shared" si="1"/>
        <v>1200</v>
      </c>
      <c r="F10" s="307">
        <f t="shared" si="2"/>
        <v>3.1578947368421054E-2</v>
      </c>
      <c r="G10" s="341"/>
      <c r="H10" s="307">
        <f t="shared" si="3"/>
        <v>3.1578947368421054E-2</v>
      </c>
    </row>
    <row r="11" spans="1:8" ht="15" x14ac:dyDescent="0.25">
      <c r="A11" s="128">
        <v>5</v>
      </c>
      <c r="B11" s="312">
        <v>40000</v>
      </c>
      <c r="C11" s="309">
        <f t="shared" si="0"/>
        <v>200</v>
      </c>
      <c r="D11" s="333">
        <v>40200</v>
      </c>
      <c r="E11" s="321">
        <f t="shared" si="1"/>
        <v>1200</v>
      </c>
      <c r="F11" s="307">
        <f t="shared" si="2"/>
        <v>3.0769230769230771E-2</v>
      </c>
      <c r="G11" s="341"/>
      <c r="H11" s="307">
        <f t="shared" si="3"/>
        <v>3.0769230769230771E-2</v>
      </c>
    </row>
    <row r="12" spans="1:8" ht="15" x14ac:dyDescent="0.25">
      <c r="A12" s="128">
        <v>6</v>
      </c>
      <c r="B12" s="312">
        <v>41000</v>
      </c>
      <c r="C12" s="309">
        <f t="shared" si="0"/>
        <v>210</v>
      </c>
      <c r="D12" s="333">
        <v>41210</v>
      </c>
      <c r="E12" s="321">
        <f t="shared" si="1"/>
        <v>1210</v>
      </c>
      <c r="F12" s="307">
        <f t="shared" si="2"/>
        <v>3.0249999999999999E-2</v>
      </c>
      <c r="G12" s="341"/>
      <c r="H12" s="307">
        <f t="shared" si="3"/>
        <v>3.0249999999999999E-2</v>
      </c>
    </row>
    <row r="13" spans="1:8" ht="15" x14ac:dyDescent="0.25">
      <c r="A13" s="128">
        <v>7</v>
      </c>
      <c r="B13" s="312">
        <v>42000</v>
      </c>
      <c r="C13" s="309">
        <f t="shared" si="0"/>
        <v>210</v>
      </c>
      <c r="D13" s="333">
        <v>42210</v>
      </c>
      <c r="E13" s="321">
        <f t="shared" si="1"/>
        <v>1210</v>
      </c>
      <c r="F13" s="307">
        <f t="shared" si="2"/>
        <v>2.9512195121951218E-2</v>
      </c>
      <c r="G13" s="341"/>
      <c r="H13" s="307">
        <f t="shared" si="3"/>
        <v>2.9512195121951218E-2</v>
      </c>
    </row>
    <row r="14" spans="1:8" ht="15" x14ac:dyDescent="0.25">
      <c r="A14" s="128">
        <v>8</v>
      </c>
      <c r="B14" s="312">
        <v>43000</v>
      </c>
      <c r="C14" s="309">
        <f t="shared" si="0"/>
        <v>220</v>
      </c>
      <c r="D14" s="333">
        <v>43220</v>
      </c>
      <c r="E14" s="321">
        <f t="shared" si="1"/>
        <v>1220</v>
      </c>
      <c r="F14" s="307">
        <f t="shared" si="2"/>
        <v>2.9047619047619048E-2</v>
      </c>
      <c r="G14" s="341"/>
      <c r="H14" s="307">
        <f t="shared" si="3"/>
        <v>2.9047619047619048E-2</v>
      </c>
    </row>
    <row r="15" spans="1:8" ht="15" x14ac:dyDescent="0.25">
      <c r="A15" s="128">
        <v>9</v>
      </c>
      <c r="B15" s="312">
        <v>44000</v>
      </c>
      <c r="C15" s="309">
        <f t="shared" si="0"/>
        <v>220</v>
      </c>
      <c r="D15" s="333">
        <v>44220</v>
      </c>
      <c r="E15" s="321">
        <f t="shared" si="1"/>
        <v>1220</v>
      </c>
      <c r="F15" s="307">
        <f t="shared" si="2"/>
        <v>2.8372093023255815E-2</v>
      </c>
      <c r="G15" s="341"/>
      <c r="H15" s="307">
        <f t="shared" si="3"/>
        <v>2.8372093023255815E-2</v>
      </c>
    </row>
    <row r="16" spans="1:8" ht="15" x14ac:dyDescent="0.25">
      <c r="A16" s="128">
        <v>10</v>
      </c>
      <c r="B16" s="312">
        <v>45000</v>
      </c>
      <c r="C16" s="309">
        <f t="shared" si="0"/>
        <v>230</v>
      </c>
      <c r="D16" s="333">
        <v>45230</v>
      </c>
      <c r="E16" s="321">
        <f t="shared" si="1"/>
        <v>1230</v>
      </c>
      <c r="F16" s="307">
        <f t="shared" si="2"/>
        <v>2.7954545454545454E-2</v>
      </c>
      <c r="G16" s="341"/>
      <c r="H16" s="307">
        <f t="shared" si="3"/>
        <v>2.7954545454545454E-2</v>
      </c>
    </row>
    <row r="17" spans="1:8" ht="15" x14ac:dyDescent="0.25">
      <c r="A17" s="128">
        <v>11</v>
      </c>
      <c r="B17" s="312">
        <v>46000</v>
      </c>
      <c r="C17" s="309">
        <f t="shared" si="0"/>
        <v>230</v>
      </c>
      <c r="D17" s="333">
        <v>46230</v>
      </c>
      <c r="E17" s="321">
        <f t="shared" si="1"/>
        <v>1230</v>
      </c>
      <c r="F17" s="307">
        <f t="shared" si="2"/>
        <v>2.7333333333333334E-2</v>
      </c>
      <c r="G17" s="341"/>
      <c r="H17" s="307">
        <f t="shared" si="3"/>
        <v>2.7333333333333334E-2</v>
      </c>
    </row>
    <row r="18" spans="1:8" ht="15" x14ac:dyDescent="0.25">
      <c r="A18" s="128">
        <v>12</v>
      </c>
      <c r="B18" s="312">
        <v>47000</v>
      </c>
      <c r="C18" s="309">
        <f t="shared" si="0"/>
        <v>240</v>
      </c>
      <c r="D18" s="333">
        <v>47240</v>
      </c>
      <c r="E18" s="321">
        <f t="shared" si="1"/>
        <v>1240</v>
      </c>
      <c r="F18" s="307">
        <f t="shared" si="2"/>
        <v>2.6956521739130435E-2</v>
      </c>
      <c r="G18" s="341"/>
      <c r="H18" s="307">
        <f t="shared" si="3"/>
        <v>2.6956521739130435E-2</v>
      </c>
    </row>
    <row r="19" spans="1:8" ht="15" x14ac:dyDescent="0.25">
      <c r="A19" s="128">
        <v>13</v>
      </c>
      <c r="B19" s="312">
        <v>48000</v>
      </c>
      <c r="C19" s="309">
        <f t="shared" si="0"/>
        <v>240</v>
      </c>
      <c r="D19" s="333">
        <v>48240</v>
      </c>
      <c r="E19" s="321">
        <f t="shared" si="1"/>
        <v>1240</v>
      </c>
      <c r="F19" s="307">
        <f t="shared" si="2"/>
        <v>2.6382978723404255E-2</v>
      </c>
      <c r="G19" s="341"/>
      <c r="H19" s="307">
        <f t="shared" si="3"/>
        <v>2.6382978723404255E-2</v>
      </c>
    </row>
    <row r="20" spans="1:8" ht="15" x14ac:dyDescent="0.25">
      <c r="A20" s="128">
        <v>14</v>
      </c>
      <c r="B20" s="312">
        <v>49000</v>
      </c>
      <c r="C20" s="309">
        <f t="shared" si="0"/>
        <v>250</v>
      </c>
      <c r="D20" s="333">
        <v>49250</v>
      </c>
      <c r="E20" s="321">
        <f t="shared" si="1"/>
        <v>1250</v>
      </c>
      <c r="F20" s="307">
        <f t="shared" si="2"/>
        <v>2.6041666666666668E-2</v>
      </c>
      <c r="G20" s="341"/>
      <c r="H20" s="307">
        <f t="shared" si="3"/>
        <v>2.6041666666666668E-2</v>
      </c>
    </row>
    <row r="21" spans="1:8" ht="15" x14ac:dyDescent="0.25">
      <c r="A21" s="128">
        <v>15</v>
      </c>
      <c r="B21" s="312">
        <v>50000</v>
      </c>
      <c r="C21" s="309">
        <f t="shared" si="0"/>
        <v>250</v>
      </c>
      <c r="D21" s="333">
        <v>50250</v>
      </c>
      <c r="E21" s="321">
        <f t="shared" si="1"/>
        <v>1250</v>
      </c>
      <c r="F21" s="307">
        <f t="shared" si="2"/>
        <v>2.5510204081632654E-2</v>
      </c>
      <c r="G21" s="341">
        <v>500</v>
      </c>
      <c r="H21" s="307">
        <f t="shared" si="3"/>
        <v>3.5714285714285712E-2</v>
      </c>
    </row>
    <row r="22" spans="1:8" ht="15" x14ac:dyDescent="0.25">
      <c r="A22" s="128">
        <v>16</v>
      </c>
      <c r="B22" s="312">
        <v>50000</v>
      </c>
      <c r="C22" s="309">
        <f t="shared" si="0"/>
        <v>250</v>
      </c>
      <c r="D22" s="333">
        <v>50250</v>
      </c>
      <c r="E22" s="321">
        <f t="shared" si="1"/>
        <v>250</v>
      </c>
      <c r="F22" s="307">
        <f t="shared" si="2"/>
        <v>5.0000000000000001E-3</v>
      </c>
      <c r="G22" s="341">
        <v>500</v>
      </c>
      <c r="H22" s="307">
        <f t="shared" si="3"/>
        <v>1.4999999999999999E-2</v>
      </c>
    </row>
    <row r="23" spans="1:8" ht="15" x14ac:dyDescent="0.25">
      <c r="A23" s="128">
        <v>17</v>
      </c>
      <c r="B23" s="312">
        <v>50000</v>
      </c>
      <c r="C23" s="309">
        <f t="shared" si="0"/>
        <v>250</v>
      </c>
      <c r="D23" s="333">
        <v>50250</v>
      </c>
      <c r="E23" s="321">
        <f t="shared" si="1"/>
        <v>250</v>
      </c>
      <c r="F23" s="307">
        <f t="shared" si="2"/>
        <v>5.0000000000000001E-3</v>
      </c>
      <c r="G23" s="341">
        <v>500</v>
      </c>
      <c r="H23" s="307">
        <f t="shared" si="3"/>
        <v>1.4999999999999999E-2</v>
      </c>
    </row>
    <row r="24" spans="1:8" ht="15" x14ac:dyDescent="0.25">
      <c r="A24" s="128">
        <v>18</v>
      </c>
      <c r="B24" s="312">
        <v>50000</v>
      </c>
      <c r="C24" s="309">
        <f t="shared" si="0"/>
        <v>250</v>
      </c>
      <c r="D24" s="333">
        <v>50250</v>
      </c>
      <c r="E24" s="321">
        <f t="shared" si="1"/>
        <v>250</v>
      </c>
      <c r="F24" s="307">
        <f t="shared" si="2"/>
        <v>5.0000000000000001E-3</v>
      </c>
      <c r="G24" s="341">
        <v>500</v>
      </c>
      <c r="H24" s="307">
        <f t="shared" si="3"/>
        <v>1.4999999999999999E-2</v>
      </c>
    </row>
    <row r="25" spans="1:8" ht="15" x14ac:dyDescent="0.25">
      <c r="A25" s="128">
        <v>19</v>
      </c>
      <c r="B25" s="312">
        <v>50000</v>
      </c>
      <c r="C25" s="309">
        <f t="shared" si="0"/>
        <v>250</v>
      </c>
      <c r="D25" s="333">
        <v>50250</v>
      </c>
      <c r="E25" s="321">
        <f t="shared" si="1"/>
        <v>250</v>
      </c>
      <c r="F25" s="307">
        <f t="shared" si="2"/>
        <v>5.0000000000000001E-3</v>
      </c>
      <c r="G25" s="341">
        <v>500</v>
      </c>
      <c r="H25" s="307">
        <f t="shared" si="3"/>
        <v>1.4999999999999999E-2</v>
      </c>
    </row>
    <row r="26" spans="1:8" ht="15" x14ac:dyDescent="0.25">
      <c r="A26" s="128">
        <v>20</v>
      </c>
      <c r="B26" s="312">
        <v>50000</v>
      </c>
      <c r="C26" s="309">
        <f t="shared" si="0"/>
        <v>250</v>
      </c>
      <c r="D26" s="333">
        <v>50250</v>
      </c>
      <c r="E26" s="321">
        <f t="shared" si="1"/>
        <v>250</v>
      </c>
      <c r="F26" s="307">
        <f t="shared" si="2"/>
        <v>5.0000000000000001E-3</v>
      </c>
      <c r="G26" s="341">
        <v>500</v>
      </c>
      <c r="H26" s="307">
        <f t="shared" si="3"/>
        <v>1.4999999999999999E-2</v>
      </c>
    </row>
    <row r="27" spans="1:8" ht="15" x14ac:dyDescent="0.25">
      <c r="A27" s="128">
        <v>21</v>
      </c>
      <c r="B27" s="312">
        <v>50000</v>
      </c>
      <c r="C27" s="309">
        <f t="shared" si="0"/>
        <v>250</v>
      </c>
      <c r="D27" s="333">
        <v>50250</v>
      </c>
      <c r="E27" s="321">
        <f t="shared" si="1"/>
        <v>250</v>
      </c>
      <c r="F27" s="307">
        <f t="shared" si="2"/>
        <v>5.0000000000000001E-3</v>
      </c>
      <c r="G27" s="341">
        <v>500</v>
      </c>
      <c r="H27" s="307">
        <f t="shared" si="3"/>
        <v>1.4999999999999999E-2</v>
      </c>
    </row>
    <row r="28" spans="1:8" ht="15" x14ac:dyDescent="0.25">
      <c r="A28" s="128">
        <v>22</v>
      </c>
      <c r="B28" s="312">
        <v>50000</v>
      </c>
      <c r="C28" s="309">
        <f t="shared" si="0"/>
        <v>250</v>
      </c>
      <c r="D28" s="333">
        <v>50250</v>
      </c>
      <c r="E28" s="321">
        <f t="shared" si="1"/>
        <v>250</v>
      </c>
      <c r="F28" s="307">
        <f t="shared" si="2"/>
        <v>5.0000000000000001E-3</v>
      </c>
      <c r="G28" s="341">
        <v>500</v>
      </c>
      <c r="H28" s="307">
        <f t="shared" si="3"/>
        <v>1.4999999999999999E-2</v>
      </c>
    </row>
    <row r="29" spans="1:8" ht="15" x14ac:dyDescent="0.25">
      <c r="A29" s="128">
        <v>23</v>
      </c>
      <c r="B29" s="312">
        <v>50000</v>
      </c>
      <c r="C29" s="309">
        <f t="shared" si="0"/>
        <v>250</v>
      </c>
      <c r="D29" s="333">
        <v>50250</v>
      </c>
      <c r="E29" s="321">
        <f t="shared" si="1"/>
        <v>250</v>
      </c>
      <c r="F29" s="307">
        <f t="shared" si="2"/>
        <v>5.0000000000000001E-3</v>
      </c>
      <c r="G29" s="341">
        <v>500</v>
      </c>
      <c r="H29" s="307">
        <f t="shared" si="3"/>
        <v>1.4999999999999999E-2</v>
      </c>
    </row>
    <row r="30" spans="1:8" ht="15" x14ac:dyDescent="0.25">
      <c r="A30" s="128">
        <v>24</v>
      </c>
      <c r="B30" s="312">
        <v>50000</v>
      </c>
      <c r="C30" s="309">
        <f t="shared" si="0"/>
        <v>250</v>
      </c>
      <c r="D30" s="333">
        <v>50250</v>
      </c>
      <c r="E30" s="321">
        <f t="shared" si="1"/>
        <v>250</v>
      </c>
      <c r="F30" s="307">
        <f t="shared" si="2"/>
        <v>5.0000000000000001E-3</v>
      </c>
      <c r="G30" s="341">
        <v>500</v>
      </c>
      <c r="H30" s="307">
        <f t="shared" si="3"/>
        <v>1.4999999999999999E-2</v>
      </c>
    </row>
    <row r="31" spans="1:8" ht="15" x14ac:dyDescent="0.25">
      <c r="A31" s="128">
        <v>25</v>
      </c>
      <c r="B31" s="312">
        <v>52000</v>
      </c>
      <c r="C31" s="309">
        <f t="shared" si="0"/>
        <v>260</v>
      </c>
      <c r="D31" s="333">
        <v>52260</v>
      </c>
      <c r="E31" s="321">
        <f t="shared" si="1"/>
        <v>2260</v>
      </c>
      <c r="F31" s="307">
        <f t="shared" si="2"/>
        <v>4.5199999999999997E-2</v>
      </c>
      <c r="G31" s="341">
        <v>1000</v>
      </c>
      <c r="H31" s="307">
        <f t="shared" si="3"/>
        <v>6.5199999999999994E-2</v>
      </c>
    </row>
    <row r="32" spans="1:8" ht="15" x14ac:dyDescent="0.25">
      <c r="A32" s="128">
        <v>26</v>
      </c>
      <c r="B32" s="312">
        <v>52000</v>
      </c>
      <c r="C32" s="309">
        <f t="shared" si="0"/>
        <v>260</v>
      </c>
      <c r="D32" s="333">
        <v>52260</v>
      </c>
      <c r="E32" s="321">
        <f t="shared" si="1"/>
        <v>260</v>
      </c>
      <c r="F32" s="307">
        <f t="shared" si="2"/>
        <v>5.0000000000000001E-3</v>
      </c>
      <c r="G32" s="341">
        <v>1000</v>
      </c>
      <c r="H32" s="307">
        <f t="shared" si="3"/>
        <v>2.4230769230769229E-2</v>
      </c>
    </row>
    <row r="33" spans="1:8" ht="15" x14ac:dyDescent="0.25">
      <c r="A33" s="128">
        <v>27</v>
      </c>
      <c r="B33" s="312">
        <v>52000</v>
      </c>
      <c r="C33" s="309">
        <f t="shared" si="0"/>
        <v>260</v>
      </c>
      <c r="D33" s="333">
        <v>52260</v>
      </c>
      <c r="E33" s="321">
        <f t="shared" si="1"/>
        <v>260</v>
      </c>
      <c r="F33" s="307">
        <f t="shared" si="2"/>
        <v>5.0000000000000001E-3</v>
      </c>
      <c r="G33" s="341">
        <v>1000</v>
      </c>
      <c r="H33" s="307">
        <f t="shared" si="3"/>
        <v>2.4230769230769229E-2</v>
      </c>
    </row>
    <row r="34" spans="1:8" ht="15" x14ac:dyDescent="0.25">
      <c r="A34" s="128">
        <v>28</v>
      </c>
      <c r="B34" s="312">
        <v>52000</v>
      </c>
      <c r="C34" s="309">
        <f t="shared" si="0"/>
        <v>260</v>
      </c>
      <c r="D34" s="333">
        <v>52260</v>
      </c>
      <c r="E34" s="321">
        <f t="shared" si="1"/>
        <v>260</v>
      </c>
      <c r="F34" s="307">
        <f t="shared" si="2"/>
        <v>5.0000000000000001E-3</v>
      </c>
      <c r="G34" s="341">
        <v>1000</v>
      </c>
      <c r="H34" s="307">
        <f t="shared" si="3"/>
        <v>2.4230769230769229E-2</v>
      </c>
    </row>
    <row r="35" spans="1:8" ht="15" x14ac:dyDescent="0.25">
      <c r="A35" s="128">
        <v>29</v>
      </c>
      <c r="B35" s="312">
        <v>52000</v>
      </c>
      <c r="C35" s="309">
        <f t="shared" si="0"/>
        <v>260</v>
      </c>
      <c r="D35" s="333">
        <v>52260</v>
      </c>
      <c r="E35" s="321">
        <f t="shared" si="1"/>
        <v>260</v>
      </c>
      <c r="F35" s="307">
        <f t="shared" si="2"/>
        <v>5.0000000000000001E-3</v>
      </c>
      <c r="G35" s="341">
        <v>1000</v>
      </c>
      <c r="H35" s="307">
        <f t="shared" si="3"/>
        <v>2.4230769230769229E-2</v>
      </c>
    </row>
    <row r="36" spans="1:8" ht="15" x14ac:dyDescent="0.25">
      <c r="A36" s="128">
        <v>30</v>
      </c>
      <c r="B36" s="313">
        <v>52000</v>
      </c>
      <c r="C36" s="314">
        <f t="shared" si="0"/>
        <v>260</v>
      </c>
      <c r="D36" s="339">
        <v>52260</v>
      </c>
      <c r="E36" s="322">
        <f t="shared" si="1"/>
        <v>260</v>
      </c>
      <c r="F36" s="308">
        <f t="shared" si="2"/>
        <v>5.0000000000000001E-3</v>
      </c>
      <c r="G36" s="342">
        <v>1000</v>
      </c>
      <c r="H36" s="308">
        <f t="shared" si="3"/>
        <v>2.4230769230769229E-2</v>
      </c>
    </row>
  </sheetData>
  <pageMargins left="0.7" right="0.7" top="0.75" bottom="0.75" header="0.3" footer="0.3"/>
  <pageSetup orientation="portrait" r:id="rId1"/>
  <headerFooter>
    <oddFooter>&amp;L&amp;"Arial,Italic"&amp;9Division of School Business
NC Department of Public Instruction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workbookViewId="0">
      <selection activeCell="C22" sqref="C22"/>
    </sheetView>
  </sheetViews>
  <sheetFormatPr defaultRowHeight="12.75" x14ac:dyDescent="0.2"/>
  <cols>
    <col min="1" max="1" width="3" customWidth="1"/>
    <col min="2" max="2" width="3.42578125" customWidth="1"/>
    <col min="3" max="3" width="33" style="97" customWidth="1"/>
    <col min="4" max="4" width="3.42578125" customWidth="1"/>
    <col min="5" max="5" width="18.5703125" style="97" bestFit="1" customWidth="1"/>
    <col min="6" max="6" width="4.5703125" style="94" customWidth="1"/>
    <col min="7" max="7" width="1.85546875" customWidth="1"/>
    <col min="8" max="8" width="24.5703125" hidden="1" customWidth="1"/>
    <col min="9" max="9" width="4.5703125" hidden="1" customWidth="1"/>
    <col min="10" max="10" width="10.42578125" bestFit="1" customWidth="1"/>
    <col min="11" max="11" width="8.5703125" bestFit="1" customWidth="1"/>
    <col min="12" max="12" width="2.42578125" customWidth="1"/>
    <col min="15" max="15" width="9.42578125" customWidth="1"/>
  </cols>
  <sheetData>
    <row r="1" spans="1:10" x14ac:dyDescent="0.2">
      <c r="A1" s="107" t="s">
        <v>32</v>
      </c>
      <c r="B1" s="107"/>
      <c r="C1" s="96"/>
    </row>
    <row r="2" spans="1:10" x14ac:dyDescent="0.2">
      <c r="A2" s="107"/>
      <c r="B2" s="107"/>
      <c r="C2" s="96"/>
    </row>
    <row r="3" spans="1:10" ht="18.75" customHeight="1" x14ac:dyDescent="0.2">
      <c r="E3" s="507" t="s">
        <v>12</v>
      </c>
      <c r="F3" s="508"/>
      <c r="H3" s="507" t="s">
        <v>26</v>
      </c>
      <c r="I3" s="508"/>
    </row>
    <row r="4" spans="1:10" x14ac:dyDescent="0.2">
      <c r="A4" s="176" t="s">
        <v>37</v>
      </c>
      <c r="B4" s="183"/>
      <c r="C4" s="185"/>
      <c r="D4" s="181"/>
      <c r="E4" s="184"/>
      <c r="F4" s="178"/>
      <c r="H4" s="184"/>
      <c r="I4" s="178"/>
    </row>
    <row r="5" spans="1:10" x14ac:dyDescent="0.2">
      <c r="A5" s="186"/>
      <c r="B5" s="187" t="s">
        <v>122</v>
      </c>
      <c r="C5" s="188"/>
      <c r="E5" s="170"/>
      <c r="F5" s="171"/>
      <c r="H5" s="170"/>
      <c r="I5" s="171"/>
    </row>
    <row r="6" spans="1:10" x14ac:dyDescent="0.2">
      <c r="A6" s="186"/>
      <c r="B6" s="187"/>
      <c r="C6" s="189" t="s">
        <v>57</v>
      </c>
      <c r="E6" s="251">
        <v>4.8000000000000001E-2</v>
      </c>
      <c r="F6" s="171"/>
      <c r="H6" s="205"/>
      <c r="I6" s="171"/>
    </row>
    <row r="7" spans="1:10" x14ac:dyDescent="0.2">
      <c r="A7" s="186"/>
      <c r="B7" s="190"/>
      <c r="C7" s="188"/>
      <c r="E7" s="172"/>
      <c r="F7" s="171"/>
      <c r="H7" s="172"/>
      <c r="I7" s="171"/>
    </row>
    <row r="8" spans="1:10" x14ac:dyDescent="0.2">
      <c r="A8" s="177" t="s">
        <v>38</v>
      </c>
      <c r="B8" s="180"/>
      <c r="C8" s="185"/>
      <c r="D8" s="181"/>
      <c r="E8" s="182"/>
      <c r="F8" s="178"/>
      <c r="H8" s="182"/>
      <c r="I8" s="178"/>
    </row>
    <row r="9" spans="1:10" s="54" customFormat="1" x14ac:dyDescent="0.2">
      <c r="A9" s="302" t="s">
        <v>133</v>
      </c>
      <c r="B9" s="18"/>
      <c r="C9" s="303"/>
      <c r="D9" s="106"/>
      <c r="E9" s="304"/>
      <c r="F9" s="305"/>
      <c r="H9" s="304"/>
      <c r="I9" s="305"/>
    </row>
    <row r="10" spans="1:10" x14ac:dyDescent="0.2">
      <c r="A10" s="186"/>
      <c r="B10" s="52"/>
      <c r="C10" s="189" t="s">
        <v>57</v>
      </c>
      <c r="E10" s="291">
        <v>0.1</v>
      </c>
      <c r="F10" s="171"/>
      <c r="G10" s="110"/>
      <c r="H10" s="206"/>
      <c r="I10" s="171"/>
      <c r="J10" s="110"/>
    </row>
    <row r="11" spans="1:10" x14ac:dyDescent="0.2">
      <c r="A11" s="186"/>
      <c r="B11" s="52"/>
      <c r="C11" s="189"/>
      <c r="E11" s="175"/>
      <c r="F11" s="221"/>
      <c r="H11" s="174"/>
      <c r="I11" s="221"/>
    </row>
    <row r="12" spans="1:10" x14ac:dyDescent="0.2">
      <c r="A12" s="249" t="s">
        <v>63</v>
      </c>
      <c r="B12" s="52"/>
      <c r="C12" s="189"/>
      <c r="E12" s="290">
        <v>6.3E-2</v>
      </c>
      <c r="F12" s="221"/>
      <c r="H12" s="174"/>
      <c r="I12" s="221"/>
    </row>
    <row r="13" spans="1:10" x14ac:dyDescent="0.2">
      <c r="A13" s="186"/>
      <c r="B13" s="52"/>
      <c r="C13" s="189"/>
      <c r="E13" s="173"/>
      <c r="F13" s="171"/>
      <c r="G13" s="110"/>
      <c r="H13" s="173"/>
      <c r="I13" s="221"/>
      <c r="J13" s="110"/>
    </row>
    <row r="14" spans="1:10" x14ac:dyDescent="0.2">
      <c r="A14" s="177" t="s">
        <v>27</v>
      </c>
      <c r="B14" s="180"/>
      <c r="C14" s="192"/>
      <c r="D14" s="181"/>
      <c r="E14" s="193"/>
      <c r="F14" s="178"/>
      <c r="G14" s="110"/>
      <c r="H14" s="193"/>
      <c r="I14" s="178"/>
      <c r="J14" s="98"/>
    </row>
    <row r="15" spans="1:10" ht="20.100000000000001" customHeight="1" x14ac:dyDescent="0.2">
      <c r="A15" s="201"/>
      <c r="B15" s="198"/>
      <c r="C15" s="199" t="s">
        <v>46</v>
      </c>
      <c r="D15" s="106"/>
      <c r="E15" s="252" t="s">
        <v>121</v>
      </c>
      <c r="F15" s="200"/>
      <c r="G15" s="110"/>
      <c r="H15" s="509"/>
      <c r="I15" s="510"/>
      <c r="J15" s="98"/>
    </row>
    <row r="16" spans="1:10" x14ac:dyDescent="0.2">
      <c r="E16" s="114"/>
      <c r="F16" s="101"/>
      <c r="G16" s="110"/>
      <c r="H16" s="92"/>
      <c r="I16" s="93"/>
      <c r="J16" s="110"/>
    </row>
    <row r="17" spans="1:10" x14ac:dyDescent="0.2">
      <c r="C17" s="96"/>
      <c r="H17" s="92"/>
      <c r="I17" s="93"/>
    </row>
    <row r="18" spans="1:10" x14ac:dyDescent="0.2">
      <c r="A18" s="315"/>
      <c r="B18" s="116"/>
      <c r="D18" s="511"/>
      <c r="E18" s="511"/>
      <c r="F18" s="511"/>
      <c r="G18" s="511"/>
      <c r="H18" s="92"/>
      <c r="I18" s="93"/>
    </row>
    <row r="19" spans="1:10" x14ac:dyDescent="0.2">
      <c r="A19" s="179"/>
      <c r="C19" s="60"/>
      <c r="H19" s="92"/>
      <c r="I19" s="93"/>
    </row>
    <row r="20" spans="1:10" s="105" customFormat="1" x14ac:dyDescent="0.2">
      <c r="A20" s="179"/>
      <c r="C20" s="187"/>
      <c r="D20" s="248"/>
      <c r="E20" s="248"/>
      <c r="F20" s="248"/>
      <c r="G20" s="248"/>
      <c r="H20" s="103"/>
      <c r="I20" s="104"/>
    </row>
    <row r="21" spans="1:10" x14ac:dyDescent="0.2">
      <c r="A21" s="179"/>
      <c r="C21" s="60"/>
      <c r="H21" s="92"/>
      <c r="I21" s="93"/>
    </row>
    <row r="22" spans="1:10" x14ac:dyDescent="0.2">
      <c r="A22" s="117"/>
      <c r="C22" s="117"/>
      <c r="D22" s="505"/>
      <c r="E22" s="505"/>
      <c r="F22" s="505"/>
      <c r="G22" s="505"/>
      <c r="H22" s="92"/>
      <c r="I22" s="93"/>
    </row>
    <row r="23" spans="1:10" x14ac:dyDescent="0.2">
      <c r="A23" s="96"/>
      <c r="C23" s="316"/>
      <c r="D23" s="220"/>
      <c r="E23" s="220"/>
      <c r="F23" s="220"/>
      <c r="G23" s="220"/>
      <c r="H23" s="92"/>
      <c r="I23" s="93"/>
    </row>
    <row r="24" spans="1:10" ht="13.35" hidden="1" customHeight="1" x14ac:dyDescent="0.2">
      <c r="C24" s="107"/>
      <c r="E24" s="95"/>
      <c r="F24" s="108"/>
      <c r="G24" s="108"/>
      <c r="H24" s="92"/>
      <c r="I24" s="93"/>
      <c r="J24" s="115" t="s">
        <v>23</v>
      </c>
    </row>
    <row r="25" spans="1:10" ht="13.35" hidden="1" customHeight="1" x14ac:dyDescent="0.2">
      <c r="E25" s="114"/>
      <c r="F25"/>
      <c r="G25" s="109"/>
      <c r="H25" s="92"/>
      <c r="I25" s="93"/>
      <c r="J25" s="109">
        <v>0.1532</v>
      </c>
    </row>
    <row r="26" spans="1:10" ht="5.25" hidden="1" customHeight="1" x14ac:dyDescent="0.2">
      <c r="E26" s="100"/>
      <c r="F26"/>
      <c r="H26" s="92"/>
      <c r="I26" s="93"/>
    </row>
    <row r="27" spans="1:10" ht="13.35" hidden="1" customHeight="1" x14ac:dyDescent="0.2">
      <c r="E27" s="166"/>
      <c r="F27"/>
      <c r="G27" s="94"/>
      <c r="H27" s="92"/>
      <c r="I27" s="93"/>
      <c r="J27" s="94">
        <v>5471</v>
      </c>
    </row>
    <row r="28" spans="1:10" ht="13.35" hidden="1" customHeight="1" x14ac:dyDescent="0.2">
      <c r="H28" s="92"/>
      <c r="I28" s="93"/>
    </row>
    <row r="29" spans="1:10" ht="13.35" hidden="1" customHeight="1" x14ac:dyDescent="0.2">
      <c r="A29" s="57"/>
      <c r="B29" s="57"/>
    </row>
    <row r="30" spans="1:10" ht="29.25" hidden="1" customHeight="1" x14ac:dyDescent="0.2">
      <c r="A30" s="107"/>
      <c r="B30" s="107"/>
      <c r="C30" s="96"/>
      <c r="D30" s="506"/>
      <c r="E30" s="506"/>
      <c r="F30" s="506"/>
      <c r="G30" s="506"/>
    </row>
    <row r="31" spans="1:10" ht="13.35" hidden="1" customHeight="1" x14ac:dyDescent="0.2"/>
    <row r="32" spans="1:10" ht="35.25" hidden="1" customHeight="1" x14ac:dyDescent="0.2">
      <c r="A32" s="96"/>
      <c r="B32" s="96"/>
      <c r="C32" s="96"/>
      <c r="D32" s="505"/>
      <c r="E32" s="505"/>
      <c r="F32" s="505"/>
      <c r="G32" s="505"/>
      <c r="H32" s="92"/>
      <c r="I32" s="93"/>
    </row>
    <row r="33" ht="13.35" hidden="1" customHeight="1" x14ac:dyDescent="0.2"/>
  </sheetData>
  <mergeCells count="7">
    <mergeCell ref="D22:G22"/>
    <mergeCell ref="D30:G30"/>
    <mergeCell ref="D32:G32"/>
    <mergeCell ref="H3:I3"/>
    <mergeCell ref="H15:I15"/>
    <mergeCell ref="E3:F3"/>
    <mergeCell ref="D18:G18"/>
  </mergeCells>
  <pageMargins left="0.7" right="0.7" top="0.5" bottom="0.5" header="0.3" footer="0.3"/>
  <pageSetup scale="85" orientation="landscape" r:id="rId1"/>
  <headerFooter>
    <oddFooter>&amp;L&amp;"Arial,Italic"&amp;9Division of School Business
NC Department of Public Instruction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7"/>
  <sheetViews>
    <sheetView workbookViewId="0">
      <selection activeCell="F4" sqref="D1:F1048576"/>
    </sheetView>
  </sheetViews>
  <sheetFormatPr defaultRowHeight="12.75" x14ac:dyDescent="0.2"/>
  <cols>
    <col min="1" max="1" width="5.42578125" customWidth="1"/>
    <col min="3" max="3" width="1.5703125" customWidth="1"/>
    <col min="4" max="6" width="0" hidden="1" customWidth="1"/>
    <col min="7" max="7" width="1.85546875" customWidth="1"/>
    <col min="11" max="11" width="1.5703125" customWidth="1"/>
    <col min="12" max="14" width="0" hidden="1" customWidth="1"/>
  </cols>
  <sheetData>
    <row r="1" spans="1:14" x14ac:dyDescent="0.2">
      <c r="A1" s="107" t="s">
        <v>53</v>
      </c>
    </row>
    <row r="2" spans="1:14" x14ac:dyDescent="0.2">
      <c r="A2" s="107" t="s">
        <v>60</v>
      </c>
    </row>
    <row r="3" spans="1:14" ht="13.5" thickBot="1" x14ac:dyDescent="0.25">
      <c r="A3" s="57"/>
    </row>
    <row r="4" spans="1:14" ht="13.5" thickBot="1" x14ac:dyDescent="0.25">
      <c r="A4" s="207" t="s">
        <v>48</v>
      </c>
      <c r="B4" s="208"/>
      <c r="D4" s="244" t="s">
        <v>49</v>
      </c>
      <c r="E4" s="245"/>
      <c r="F4" s="246"/>
      <c r="H4" s="244" t="s">
        <v>51</v>
      </c>
      <c r="I4" s="245"/>
      <c r="J4" s="246"/>
      <c r="L4" s="244" t="s">
        <v>50</v>
      </c>
      <c r="M4" s="245"/>
      <c r="N4" s="246"/>
    </row>
    <row r="5" spans="1:14" ht="90.6" customHeight="1" x14ac:dyDescent="0.25">
      <c r="A5" s="209" t="s">
        <v>35</v>
      </c>
      <c r="B5" s="209" t="s">
        <v>58</v>
      </c>
      <c r="C5" s="210"/>
      <c r="D5" s="209" t="s">
        <v>59</v>
      </c>
      <c r="E5" s="209" t="s">
        <v>36</v>
      </c>
      <c r="F5" s="209" t="s">
        <v>39</v>
      </c>
      <c r="G5" s="210"/>
      <c r="H5" s="209" t="s">
        <v>59</v>
      </c>
      <c r="I5" s="211" t="s">
        <v>36</v>
      </c>
      <c r="J5" s="211" t="s">
        <v>39</v>
      </c>
      <c r="K5" s="210"/>
      <c r="L5" s="209" t="s">
        <v>59</v>
      </c>
      <c r="M5" s="211" t="s">
        <v>36</v>
      </c>
      <c r="N5" s="211" t="s">
        <v>39</v>
      </c>
    </row>
    <row r="6" spans="1:14" ht="15" x14ac:dyDescent="0.25">
      <c r="A6" s="125">
        <v>0</v>
      </c>
      <c r="B6" s="127">
        <v>35000</v>
      </c>
      <c r="D6" s="127"/>
      <c r="E6" s="127"/>
      <c r="F6" s="165"/>
      <c r="H6" s="212" t="e">
        <f>#REF!*10</f>
        <v>#REF!</v>
      </c>
      <c r="I6" s="127"/>
      <c r="J6" s="165"/>
      <c r="L6" s="212">
        <f>'House Salary'!J5</f>
        <v>0</v>
      </c>
      <c r="M6" s="127"/>
      <c r="N6" s="165"/>
    </row>
    <row r="7" spans="1:14" ht="15" x14ac:dyDescent="0.25">
      <c r="A7" s="128">
        <v>1</v>
      </c>
      <c r="B7" s="130">
        <v>35750</v>
      </c>
      <c r="D7" s="130"/>
      <c r="E7" s="130">
        <f>D7-$B$6</f>
        <v>-35000</v>
      </c>
      <c r="F7" s="214">
        <f>E7/B6</f>
        <v>-1</v>
      </c>
      <c r="H7" s="213" t="e">
        <f>#REF!*10</f>
        <v>#REF!</v>
      </c>
      <c r="I7" s="130" t="e">
        <f>H7-B6</f>
        <v>#REF!</v>
      </c>
      <c r="J7" s="214" t="e">
        <f>I7/B6</f>
        <v>#REF!</v>
      </c>
      <c r="L7" s="213">
        <f>'House Salary'!J6</f>
        <v>0</v>
      </c>
      <c r="M7" s="130">
        <f>L7-$B$6</f>
        <v>-35000</v>
      </c>
      <c r="N7" s="214"/>
    </row>
    <row r="8" spans="1:14" ht="15" x14ac:dyDescent="0.25">
      <c r="A8" s="128">
        <v>2</v>
      </c>
      <c r="B8" s="130">
        <v>36000</v>
      </c>
      <c r="D8" s="130"/>
      <c r="E8" s="130">
        <f t="shared" ref="E8:E43" si="0">D8-B7</f>
        <v>-35750</v>
      </c>
      <c r="F8" s="214">
        <f t="shared" ref="F8:F43" si="1">E8/B7</f>
        <v>-1</v>
      </c>
      <c r="H8" s="213" t="e">
        <f>#REF!*10</f>
        <v>#REF!</v>
      </c>
      <c r="I8" s="130" t="e">
        <f t="shared" ref="I8:I41" si="2">H8-B7</f>
        <v>#REF!</v>
      </c>
      <c r="J8" s="214" t="e">
        <f t="shared" ref="J8:J41" si="3">I8/B7</f>
        <v>#REF!</v>
      </c>
      <c r="L8" s="213">
        <f>'House Salary'!J7</f>
        <v>0</v>
      </c>
      <c r="M8" s="130">
        <f t="shared" ref="M8:M43" si="4">L8-$B$6</f>
        <v>-35000</v>
      </c>
      <c r="N8" s="214"/>
    </row>
    <row r="9" spans="1:14" ht="15" x14ac:dyDescent="0.25">
      <c r="A9" s="128">
        <v>3</v>
      </c>
      <c r="B9" s="130">
        <v>36250</v>
      </c>
      <c r="D9" s="130"/>
      <c r="E9" s="130">
        <f t="shared" si="0"/>
        <v>-36000</v>
      </c>
      <c r="F9" s="214">
        <f t="shared" si="1"/>
        <v>-1</v>
      </c>
      <c r="H9" s="213" t="e">
        <f>#REF!*10</f>
        <v>#REF!</v>
      </c>
      <c r="I9" s="130" t="e">
        <f t="shared" si="2"/>
        <v>#REF!</v>
      </c>
      <c r="J9" s="214" t="e">
        <f t="shared" si="3"/>
        <v>#REF!</v>
      </c>
      <c r="L9" s="213">
        <f>'House Salary'!J8</f>
        <v>0</v>
      </c>
      <c r="M9" s="130">
        <f t="shared" si="4"/>
        <v>-35000</v>
      </c>
      <c r="N9" s="214"/>
    </row>
    <row r="10" spans="1:14" ht="15" x14ac:dyDescent="0.25">
      <c r="A10" s="128">
        <v>4</v>
      </c>
      <c r="B10" s="130">
        <v>36750</v>
      </c>
      <c r="D10" s="130"/>
      <c r="E10" s="130">
        <f t="shared" si="0"/>
        <v>-36250</v>
      </c>
      <c r="F10" s="214">
        <f t="shared" si="1"/>
        <v>-1</v>
      </c>
      <c r="H10" s="213" t="e">
        <f>#REF!*10</f>
        <v>#REF!</v>
      </c>
      <c r="I10" s="130" t="e">
        <f t="shared" si="2"/>
        <v>#REF!</v>
      </c>
      <c r="J10" s="214" t="e">
        <f t="shared" si="3"/>
        <v>#REF!</v>
      </c>
      <c r="L10" s="213">
        <f>'House Salary'!J9</f>
        <v>0</v>
      </c>
      <c r="M10" s="130">
        <f t="shared" si="4"/>
        <v>-35000</v>
      </c>
      <c r="N10" s="214"/>
    </row>
    <row r="11" spans="1:14" ht="15" x14ac:dyDescent="0.25">
      <c r="A11" s="128">
        <v>5</v>
      </c>
      <c r="B11" s="130">
        <v>37250</v>
      </c>
      <c r="D11" s="130"/>
      <c r="E11" s="130">
        <f t="shared" si="0"/>
        <v>-36750</v>
      </c>
      <c r="F11" s="214">
        <f t="shared" si="1"/>
        <v>-1</v>
      </c>
      <c r="H11" s="213" t="e">
        <f>#REF!*10</f>
        <v>#REF!</v>
      </c>
      <c r="I11" s="130" t="e">
        <f t="shared" si="2"/>
        <v>#REF!</v>
      </c>
      <c r="J11" s="214" t="e">
        <f t="shared" si="3"/>
        <v>#REF!</v>
      </c>
      <c r="L11" s="213">
        <f>'House Salary'!J10</f>
        <v>0</v>
      </c>
      <c r="M11" s="130">
        <f t="shared" si="4"/>
        <v>-35000</v>
      </c>
      <c r="N11" s="214"/>
    </row>
    <row r="12" spans="1:14" ht="15" x14ac:dyDescent="0.25">
      <c r="A12" s="128">
        <v>6</v>
      </c>
      <c r="B12" s="130">
        <v>38000</v>
      </c>
      <c r="D12" s="130"/>
      <c r="E12" s="130">
        <f t="shared" si="0"/>
        <v>-37250</v>
      </c>
      <c r="F12" s="214">
        <f t="shared" si="1"/>
        <v>-1</v>
      </c>
      <c r="H12" s="213" t="e">
        <f>#REF!*10</f>
        <v>#REF!</v>
      </c>
      <c r="I12" s="130" t="e">
        <f t="shared" si="2"/>
        <v>#REF!</v>
      </c>
      <c r="J12" s="214" t="e">
        <f t="shared" si="3"/>
        <v>#REF!</v>
      </c>
      <c r="L12" s="213">
        <f>'House Salary'!J11</f>
        <v>0</v>
      </c>
      <c r="M12" s="130">
        <f t="shared" si="4"/>
        <v>-35000</v>
      </c>
      <c r="N12" s="214"/>
    </row>
    <row r="13" spans="1:14" ht="15" x14ac:dyDescent="0.25">
      <c r="A13" s="128">
        <v>7</v>
      </c>
      <c r="B13" s="130">
        <v>38500</v>
      </c>
      <c r="D13" s="130"/>
      <c r="E13" s="130">
        <f t="shared" si="0"/>
        <v>-38000</v>
      </c>
      <c r="F13" s="214">
        <f t="shared" si="1"/>
        <v>-1</v>
      </c>
      <c r="H13" s="213" t="e">
        <f>#REF!*10</f>
        <v>#REF!</v>
      </c>
      <c r="I13" s="130" t="e">
        <f t="shared" si="2"/>
        <v>#REF!</v>
      </c>
      <c r="J13" s="214" t="e">
        <f t="shared" si="3"/>
        <v>#REF!</v>
      </c>
      <c r="L13" s="213">
        <f>'House Salary'!J12</f>
        <v>0</v>
      </c>
      <c r="M13" s="130">
        <f t="shared" si="4"/>
        <v>-35000</v>
      </c>
      <c r="N13" s="214"/>
    </row>
    <row r="14" spans="1:14" ht="15" x14ac:dyDescent="0.25">
      <c r="A14" s="128">
        <v>8</v>
      </c>
      <c r="B14" s="130">
        <v>39000</v>
      </c>
      <c r="D14" s="130"/>
      <c r="E14" s="130">
        <f t="shared" si="0"/>
        <v>-38500</v>
      </c>
      <c r="F14" s="214">
        <f t="shared" si="1"/>
        <v>-1</v>
      </c>
      <c r="H14" s="213" t="e">
        <f>#REF!*10</f>
        <v>#REF!</v>
      </c>
      <c r="I14" s="130" t="e">
        <f t="shared" si="2"/>
        <v>#REF!</v>
      </c>
      <c r="J14" s="214" t="e">
        <f t="shared" si="3"/>
        <v>#REF!</v>
      </c>
      <c r="L14" s="213">
        <f>'House Salary'!J13</f>
        <v>0</v>
      </c>
      <c r="M14" s="130">
        <f t="shared" si="4"/>
        <v>-35000</v>
      </c>
      <c r="N14" s="214"/>
    </row>
    <row r="15" spans="1:14" ht="15" x14ac:dyDescent="0.25">
      <c r="A15" s="128">
        <v>9</v>
      </c>
      <c r="B15" s="130">
        <v>39500</v>
      </c>
      <c r="D15" s="130"/>
      <c r="E15" s="130">
        <f t="shared" si="0"/>
        <v>-39000</v>
      </c>
      <c r="F15" s="214">
        <f t="shared" si="1"/>
        <v>-1</v>
      </c>
      <c r="H15" s="213" t="e">
        <f>#REF!*10</f>
        <v>#REF!</v>
      </c>
      <c r="I15" s="130" t="e">
        <f t="shared" si="2"/>
        <v>#REF!</v>
      </c>
      <c r="J15" s="214" t="e">
        <f t="shared" si="3"/>
        <v>#REF!</v>
      </c>
      <c r="L15" s="213">
        <f>'House Salary'!J14</f>
        <v>0</v>
      </c>
      <c r="M15" s="130">
        <f t="shared" si="4"/>
        <v>-35000</v>
      </c>
      <c r="N15" s="214"/>
    </row>
    <row r="16" spans="1:14" ht="15" x14ac:dyDescent="0.25">
      <c r="A16" s="128">
        <v>10</v>
      </c>
      <c r="B16" s="130">
        <v>40250</v>
      </c>
      <c r="D16" s="130"/>
      <c r="E16" s="130">
        <f t="shared" si="0"/>
        <v>-39500</v>
      </c>
      <c r="F16" s="214">
        <f t="shared" si="1"/>
        <v>-1</v>
      </c>
      <c r="H16" s="213" t="e">
        <f>#REF!*10</f>
        <v>#REF!</v>
      </c>
      <c r="I16" s="130" t="e">
        <f t="shared" si="2"/>
        <v>#REF!</v>
      </c>
      <c r="J16" s="214" t="e">
        <f t="shared" si="3"/>
        <v>#REF!</v>
      </c>
      <c r="L16" s="213">
        <f>'House Salary'!J15</f>
        <v>0</v>
      </c>
      <c r="M16" s="130">
        <f t="shared" si="4"/>
        <v>-35000</v>
      </c>
      <c r="N16" s="214"/>
    </row>
    <row r="17" spans="1:14" ht="15" x14ac:dyDescent="0.25">
      <c r="A17" s="128">
        <v>11</v>
      </c>
      <c r="B17" s="130">
        <v>41000</v>
      </c>
      <c r="D17" s="130"/>
      <c r="E17" s="130">
        <f t="shared" si="0"/>
        <v>-40250</v>
      </c>
      <c r="F17" s="214">
        <f t="shared" si="1"/>
        <v>-1</v>
      </c>
      <c r="H17" s="213" t="e">
        <f>#REF!*10</f>
        <v>#REF!</v>
      </c>
      <c r="I17" s="130" t="e">
        <f t="shared" si="2"/>
        <v>#REF!</v>
      </c>
      <c r="J17" s="214" t="e">
        <f t="shared" si="3"/>
        <v>#REF!</v>
      </c>
      <c r="L17" s="213">
        <f>'House Salary'!J16</f>
        <v>0</v>
      </c>
      <c r="M17" s="130">
        <f t="shared" si="4"/>
        <v>-35000</v>
      </c>
      <c r="N17" s="214"/>
    </row>
    <row r="18" spans="1:14" ht="15" x14ac:dyDescent="0.25">
      <c r="A18" s="128">
        <v>12</v>
      </c>
      <c r="B18" s="130">
        <v>41750</v>
      </c>
      <c r="D18" s="130"/>
      <c r="E18" s="130">
        <f t="shared" si="0"/>
        <v>-41000</v>
      </c>
      <c r="F18" s="214">
        <f t="shared" si="1"/>
        <v>-1</v>
      </c>
      <c r="H18" s="213" t="e">
        <f>#REF!*10</f>
        <v>#REF!</v>
      </c>
      <c r="I18" s="130" t="e">
        <f t="shared" si="2"/>
        <v>#REF!</v>
      </c>
      <c r="J18" s="214" t="e">
        <f t="shared" si="3"/>
        <v>#REF!</v>
      </c>
      <c r="L18" s="213">
        <f>'House Salary'!J17</f>
        <v>0</v>
      </c>
      <c r="M18" s="130">
        <f t="shared" si="4"/>
        <v>-35000</v>
      </c>
      <c r="N18" s="214"/>
    </row>
    <row r="19" spans="1:14" ht="15" x14ac:dyDescent="0.25">
      <c r="A19" s="128">
        <v>13</v>
      </c>
      <c r="B19" s="130">
        <v>42500</v>
      </c>
      <c r="D19" s="130"/>
      <c r="E19" s="130">
        <f t="shared" si="0"/>
        <v>-41750</v>
      </c>
      <c r="F19" s="214">
        <f t="shared" si="1"/>
        <v>-1</v>
      </c>
      <c r="H19" s="213" t="e">
        <f>#REF!*10</f>
        <v>#REF!</v>
      </c>
      <c r="I19" s="130" t="e">
        <f t="shared" si="2"/>
        <v>#REF!</v>
      </c>
      <c r="J19" s="214" t="e">
        <f t="shared" si="3"/>
        <v>#REF!</v>
      </c>
      <c r="L19" s="213">
        <f>'House Salary'!J18</f>
        <v>0</v>
      </c>
      <c r="M19" s="130">
        <f t="shared" si="4"/>
        <v>-35000</v>
      </c>
      <c r="N19" s="214"/>
    </row>
    <row r="20" spans="1:14" ht="15" x14ac:dyDescent="0.25">
      <c r="A20" s="128">
        <v>14</v>
      </c>
      <c r="B20" s="130">
        <v>43250</v>
      </c>
      <c r="D20" s="130"/>
      <c r="E20" s="130">
        <f t="shared" si="0"/>
        <v>-42500</v>
      </c>
      <c r="F20" s="214">
        <f t="shared" si="1"/>
        <v>-1</v>
      </c>
      <c r="H20" s="213" t="e">
        <f>#REF!*10</f>
        <v>#REF!</v>
      </c>
      <c r="I20" s="130" t="e">
        <f t="shared" si="2"/>
        <v>#REF!</v>
      </c>
      <c r="J20" s="214" t="e">
        <f t="shared" si="3"/>
        <v>#REF!</v>
      </c>
      <c r="L20" s="213">
        <f>'House Salary'!J19</f>
        <v>0</v>
      </c>
      <c r="M20" s="130">
        <f t="shared" si="4"/>
        <v>-35000</v>
      </c>
      <c r="N20" s="214"/>
    </row>
    <row r="21" spans="1:14" ht="15" x14ac:dyDescent="0.25">
      <c r="A21" s="128">
        <v>15</v>
      </c>
      <c r="B21" s="130">
        <v>45250</v>
      </c>
      <c r="D21" s="130"/>
      <c r="E21" s="130">
        <f t="shared" si="0"/>
        <v>-43250</v>
      </c>
      <c r="F21" s="214">
        <f t="shared" si="1"/>
        <v>-1</v>
      </c>
      <c r="H21" s="213" t="e">
        <f>#REF!*10</f>
        <v>#REF!</v>
      </c>
      <c r="I21" s="130" t="e">
        <f t="shared" si="2"/>
        <v>#REF!</v>
      </c>
      <c r="J21" s="214" t="e">
        <f t="shared" si="3"/>
        <v>#REF!</v>
      </c>
      <c r="L21" s="213">
        <f>'House Salary'!J20</f>
        <v>0</v>
      </c>
      <c r="M21" s="130">
        <f t="shared" si="4"/>
        <v>-35000</v>
      </c>
      <c r="N21" s="214"/>
    </row>
    <row r="22" spans="1:14" ht="15" x14ac:dyDescent="0.25">
      <c r="A22" s="128">
        <v>16</v>
      </c>
      <c r="B22" s="130">
        <v>45250</v>
      </c>
      <c r="D22" s="130"/>
      <c r="E22" s="130">
        <f t="shared" si="0"/>
        <v>-45250</v>
      </c>
      <c r="F22" s="214">
        <f t="shared" si="1"/>
        <v>-1</v>
      </c>
      <c r="H22" s="213" t="e">
        <f>#REF!*10</f>
        <v>#REF!</v>
      </c>
      <c r="I22" s="130" t="e">
        <f t="shared" si="2"/>
        <v>#REF!</v>
      </c>
      <c r="J22" s="214" t="e">
        <f t="shared" si="3"/>
        <v>#REF!</v>
      </c>
      <c r="L22" s="213">
        <f>'House Salary'!J21</f>
        <v>0</v>
      </c>
      <c r="M22" s="130">
        <f t="shared" si="4"/>
        <v>-35000</v>
      </c>
      <c r="N22" s="214"/>
    </row>
    <row r="23" spans="1:14" ht="15" x14ac:dyDescent="0.25">
      <c r="A23" s="128">
        <v>17</v>
      </c>
      <c r="B23" s="130">
        <v>45250</v>
      </c>
      <c r="D23" s="130"/>
      <c r="E23" s="130">
        <f t="shared" si="0"/>
        <v>-45250</v>
      </c>
      <c r="F23" s="214">
        <f t="shared" si="1"/>
        <v>-1</v>
      </c>
      <c r="H23" s="213" t="e">
        <f>#REF!*10</f>
        <v>#REF!</v>
      </c>
      <c r="I23" s="130" t="e">
        <f t="shared" si="2"/>
        <v>#REF!</v>
      </c>
      <c r="J23" s="214" t="e">
        <f t="shared" si="3"/>
        <v>#REF!</v>
      </c>
      <c r="L23" s="213">
        <f>'House Salary'!J22</f>
        <v>0</v>
      </c>
      <c r="M23" s="130">
        <f t="shared" si="4"/>
        <v>-35000</v>
      </c>
      <c r="N23" s="214"/>
    </row>
    <row r="24" spans="1:14" ht="15" x14ac:dyDescent="0.25">
      <c r="A24" s="128">
        <v>18</v>
      </c>
      <c r="B24" s="130">
        <v>45250</v>
      </c>
      <c r="D24" s="130"/>
      <c r="E24" s="130">
        <f t="shared" si="0"/>
        <v>-45250</v>
      </c>
      <c r="F24" s="214">
        <f t="shared" si="1"/>
        <v>-1</v>
      </c>
      <c r="H24" s="213" t="e">
        <f>#REF!*10</f>
        <v>#REF!</v>
      </c>
      <c r="I24" s="130" t="e">
        <f t="shared" si="2"/>
        <v>#REF!</v>
      </c>
      <c r="J24" s="214" t="e">
        <f t="shared" si="3"/>
        <v>#REF!</v>
      </c>
      <c r="L24" s="213">
        <f>'House Salary'!J23</f>
        <v>0</v>
      </c>
      <c r="M24" s="130">
        <f t="shared" si="4"/>
        <v>-35000</v>
      </c>
      <c r="N24" s="214"/>
    </row>
    <row r="25" spans="1:14" ht="15" x14ac:dyDescent="0.25">
      <c r="A25" s="128">
        <v>19</v>
      </c>
      <c r="B25" s="130">
        <v>45250</v>
      </c>
      <c r="D25" s="130"/>
      <c r="E25" s="130">
        <f t="shared" si="0"/>
        <v>-45250</v>
      </c>
      <c r="F25" s="214">
        <f t="shared" si="1"/>
        <v>-1</v>
      </c>
      <c r="H25" s="213" t="e">
        <f>#REF!*10</f>
        <v>#REF!</v>
      </c>
      <c r="I25" s="130" t="e">
        <f t="shared" si="2"/>
        <v>#REF!</v>
      </c>
      <c r="J25" s="214" t="e">
        <f t="shared" si="3"/>
        <v>#REF!</v>
      </c>
      <c r="L25" s="213">
        <f>'House Salary'!J24</f>
        <v>0</v>
      </c>
      <c r="M25" s="130">
        <f t="shared" si="4"/>
        <v>-35000</v>
      </c>
      <c r="N25" s="214"/>
    </row>
    <row r="26" spans="1:14" ht="15" x14ac:dyDescent="0.25">
      <c r="A26" s="128">
        <v>20</v>
      </c>
      <c r="B26" s="130">
        <v>48000</v>
      </c>
      <c r="D26" s="130"/>
      <c r="E26" s="130">
        <f t="shared" si="0"/>
        <v>-45250</v>
      </c>
      <c r="F26" s="214">
        <f t="shared" si="1"/>
        <v>-1</v>
      </c>
      <c r="H26" s="213" t="e">
        <f>#REF!*10</f>
        <v>#REF!</v>
      </c>
      <c r="I26" s="130" t="e">
        <f t="shared" si="2"/>
        <v>#REF!</v>
      </c>
      <c r="J26" s="214" t="e">
        <f t="shared" si="3"/>
        <v>#REF!</v>
      </c>
      <c r="L26" s="213">
        <f>'House Salary'!J25</f>
        <v>0</v>
      </c>
      <c r="M26" s="130">
        <f t="shared" si="4"/>
        <v>-35000</v>
      </c>
      <c r="N26" s="214"/>
    </row>
    <row r="27" spans="1:14" ht="15" x14ac:dyDescent="0.25">
      <c r="A27" s="128">
        <v>21</v>
      </c>
      <c r="B27" s="130">
        <v>48000</v>
      </c>
      <c r="D27" s="130"/>
      <c r="E27" s="215">
        <f t="shared" si="0"/>
        <v>-48000</v>
      </c>
      <c r="F27" s="216">
        <f t="shared" si="1"/>
        <v>-1</v>
      </c>
      <c r="H27" s="213" t="e">
        <f>#REF!*10</f>
        <v>#REF!</v>
      </c>
      <c r="I27" s="130" t="e">
        <f t="shared" si="2"/>
        <v>#REF!</v>
      </c>
      <c r="J27" s="214" t="e">
        <f t="shared" si="3"/>
        <v>#REF!</v>
      </c>
      <c r="L27" s="213">
        <f>'House Salary'!J26</f>
        <v>0</v>
      </c>
      <c r="M27" s="130">
        <f t="shared" si="4"/>
        <v>-35000</v>
      </c>
      <c r="N27" s="214"/>
    </row>
    <row r="28" spans="1:14" ht="15" x14ac:dyDescent="0.25">
      <c r="A28" s="128">
        <v>22</v>
      </c>
      <c r="B28" s="130">
        <v>48000</v>
      </c>
      <c r="D28" s="130"/>
      <c r="E28" s="127">
        <f t="shared" si="0"/>
        <v>-48000</v>
      </c>
      <c r="F28" s="217">
        <f t="shared" si="1"/>
        <v>-1</v>
      </c>
      <c r="H28" s="213" t="e">
        <f>#REF!*10</f>
        <v>#REF!</v>
      </c>
      <c r="I28" s="130" t="e">
        <f t="shared" si="2"/>
        <v>#REF!</v>
      </c>
      <c r="J28" s="214" t="e">
        <f t="shared" si="3"/>
        <v>#REF!</v>
      </c>
      <c r="L28" s="213">
        <f>'House Salary'!J27</f>
        <v>0</v>
      </c>
      <c r="M28" s="130">
        <f t="shared" si="4"/>
        <v>-35000</v>
      </c>
      <c r="N28" s="214"/>
    </row>
    <row r="29" spans="1:14" ht="15" x14ac:dyDescent="0.25">
      <c r="A29" s="128">
        <v>23</v>
      </c>
      <c r="B29" s="130">
        <v>48000</v>
      </c>
      <c r="D29" s="130"/>
      <c r="E29" s="130">
        <f t="shared" si="0"/>
        <v>-48000</v>
      </c>
      <c r="F29" s="214">
        <f t="shared" si="1"/>
        <v>-1</v>
      </c>
      <c r="H29" s="213" t="e">
        <f>#REF!*10</f>
        <v>#REF!</v>
      </c>
      <c r="I29" s="130" t="e">
        <f t="shared" si="2"/>
        <v>#REF!</v>
      </c>
      <c r="J29" s="214" t="e">
        <f t="shared" si="3"/>
        <v>#REF!</v>
      </c>
      <c r="L29" s="213">
        <f>'House Salary'!J28</f>
        <v>0</v>
      </c>
      <c r="M29" s="130">
        <f t="shared" si="4"/>
        <v>-35000</v>
      </c>
      <c r="N29" s="214"/>
    </row>
    <row r="30" spans="1:14" ht="15" x14ac:dyDescent="0.25">
      <c r="A30" s="128">
        <v>24</v>
      </c>
      <c r="B30" s="130">
        <v>48000</v>
      </c>
      <c r="D30" s="130"/>
      <c r="E30" s="130">
        <f t="shared" si="0"/>
        <v>-48000</v>
      </c>
      <c r="F30" s="214">
        <f t="shared" si="1"/>
        <v>-1</v>
      </c>
      <c r="H30" s="213" t="e">
        <f>#REF!*10</f>
        <v>#REF!</v>
      </c>
      <c r="I30" s="130" t="e">
        <f t="shared" si="2"/>
        <v>#REF!</v>
      </c>
      <c r="J30" s="214" t="e">
        <f t="shared" si="3"/>
        <v>#REF!</v>
      </c>
      <c r="L30" s="213">
        <f>'House Salary'!J29</f>
        <v>0</v>
      </c>
      <c r="M30" s="130">
        <f t="shared" si="4"/>
        <v>-35000</v>
      </c>
      <c r="N30" s="214"/>
    </row>
    <row r="31" spans="1:14" ht="15" x14ac:dyDescent="0.25">
      <c r="A31" s="128">
        <v>25</v>
      </c>
      <c r="B31" s="130">
        <v>51000</v>
      </c>
      <c r="D31" s="130"/>
      <c r="E31" s="130">
        <f t="shared" si="0"/>
        <v>-48000</v>
      </c>
      <c r="F31" s="214">
        <f t="shared" si="1"/>
        <v>-1</v>
      </c>
      <c r="H31" s="213" t="e">
        <f>#REF!*10</f>
        <v>#REF!</v>
      </c>
      <c r="I31" s="130" t="e">
        <f t="shared" si="2"/>
        <v>#REF!</v>
      </c>
      <c r="J31" s="214" t="e">
        <f t="shared" si="3"/>
        <v>#REF!</v>
      </c>
      <c r="L31" s="213">
        <f>'House Salary'!J30</f>
        <v>0</v>
      </c>
      <c r="M31" s="130">
        <f t="shared" si="4"/>
        <v>-35000</v>
      </c>
      <c r="N31" s="214"/>
    </row>
    <row r="32" spans="1:14" ht="15" x14ac:dyDescent="0.25">
      <c r="A32" s="128">
        <v>26</v>
      </c>
      <c r="B32" s="130">
        <v>51000</v>
      </c>
      <c r="D32" s="130"/>
      <c r="E32" s="130">
        <f t="shared" si="0"/>
        <v>-51000</v>
      </c>
      <c r="F32" s="214">
        <f t="shared" si="1"/>
        <v>-1</v>
      </c>
      <c r="H32" s="213" t="e">
        <f>#REF!*10</f>
        <v>#REF!</v>
      </c>
      <c r="I32" s="130" t="e">
        <f t="shared" si="2"/>
        <v>#REF!</v>
      </c>
      <c r="J32" s="214" t="e">
        <f t="shared" si="3"/>
        <v>#REF!</v>
      </c>
      <c r="L32" s="213">
        <f>'House Salary'!J31</f>
        <v>0</v>
      </c>
      <c r="M32" s="130">
        <f t="shared" si="4"/>
        <v>-35000</v>
      </c>
      <c r="N32" s="214"/>
    </row>
    <row r="33" spans="1:14" ht="15" x14ac:dyDescent="0.25">
      <c r="A33" s="128">
        <v>27</v>
      </c>
      <c r="B33" s="130">
        <v>51000</v>
      </c>
      <c r="D33" s="130"/>
      <c r="E33" s="130">
        <f t="shared" si="0"/>
        <v>-51000</v>
      </c>
      <c r="F33" s="214">
        <f t="shared" si="1"/>
        <v>-1</v>
      </c>
      <c r="H33" s="213" t="e">
        <f>#REF!*10</f>
        <v>#REF!</v>
      </c>
      <c r="I33" s="130" t="e">
        <f t="shared" si="2"/>
        <v>#REF!</v>
      </c>
      <c r="J33" s="214" t="e">
        <f t="shared" si="3"/>
        <v>#REF!</v>
      </c>
      <c r="L33" s="213">
        <f>'House Salary'!J32</f>
        <v>0</v>
      </c>
      <c r="M33" s="130">
        <f t="shared" si="4"/>
        <v>-35000</v>
      </c>
      <c r="N33" s="214"/>
    </row>
    <row r="34" spans="1:14" ht="15" x14ac:dyDescent="0.25">
      <c r="A34" s="128">
        <v>28</v>
      </c>
      <c r="B34" s="130">
        <v>51000</v>
      </c>
      <c r="D34" s="130"/>
      <c r="E34" s="130">
        <f t="shared" si="0"/>
        <v>-51000</v>
      </c>
      <c r="F34" s="214">
        <f t="shared" si="1"/>
        <v>-1</v>
      </c>
      <c r="H34" s="213" t="e">
        <f>#REF!*10</f>
        <v>#REF!</v>
      </c>
      <c r="I34" s="130" t="e">
        <f t="shared" si="2"/>
        <v>#REF!</v>
      </c>
      <c r="J34" s="214" t="e">
        <f t="shared" si="3"/>
        <v>#REF!</v>
      </c>
      <c r="L34" s="213">
        <f>'House Salary'!J33</f>
        <v>0</v>
      </c>
      <c r="M34" s="130">
        <f t="shared" si="4"/>
        <v>-35000</v>
      </c>
      <c r="N34" s="214"/>
    </row>
    <row r="35" spans="1:14" ht="15" x14ac:dyDescent="0.25">
      <c r="A35" s="128">
        <v>29</v>
      </c>
      <c r="B35" s="130">
        <v>51000</v>
      </c>
      <c r="D35" s="130"/>
      <c r="E35" s="130">
        <f t="shared" si="0"/>
        <v>-51000</v>
      </c>
      <c r="F35" s="214">
        <f t="shared" si="1"/>
        <v>-1</v>
      </c>
      <c r="H35" s="213" t="e">
        <f>#REF!*10</f>
        <v>#REF!</v>
      </c>
      <c r="I35" s="130" t="e">
        <f t="shared" si="2"/>
        <v>#REF!</v>
      </c>
      <c r="J35" s="214" t="e">
        <f t="shared" si="3"/>
        <v>#REF!</v>
      </c>
      <c r="L35" s="213">
        <f>'House Salary'!J34</f>
        <v>0</v>
      </c>
      <c r="M35" s="130">
        <f t="shared" si="4"/>
        <v>-35000</v>
      </c>
      <c r="N35" s="214"/>
    </row>
    <row r="36" spans="1:14" ht="15" x14ac:dyDescent="0.25">
      <c r="A36" s="128">
        <v>30</v>
      </c>
      <c r="B36" s="130">
        <v>51000</v>
      </c>
      <c r="D36" s="130"/>
      <c r="E36" s="130">
        <f t="shared" si="0"/>
        <v>-51000</v>
      </c>
      <c r="F36" s="214">
        <f t="shared" si="1"/>
        <v>-1</v>
      </c>
      <c r="H36" s="213" t="e">
        <f>#REF!*10</f>
        <v>#REF!</v>
      </c>
      <c r="I36" s="130" t="e">
        <f t="shared" si="2"/>
        <v>#REF!</v>
      </c>
      <c r="J36" s="214" t="e">
        <f t="shared" si="3"/>
        <v>#REF!</v>
      </c>
      <c r="L36" s="213">
        <f>'House Salary'!J35</f>
        <v>0</v>
      </c>
      <c r="M36" s="130">
        <f t="shared" si="4"/>
        <v>-35000</v>
      </c>
      <c r="N36" s="214"/>
    </row>
    <row r="37" spans="1:14" ht="15" x14ac:dyDescent="0.25">
      <c r="A37" s="128">
        <v>31</v>
      </c>
      <c r="B37" s="130">
        <v>51000</v>
      </c>
      <c r="D37" s="130"/>
      <c r="E37" s="130">
        <f t="shared" si="0"/>
        <v>-51000</v>
      </c>
      <c r="F37" s="214">
        <f t="shared" si="1"/>
        <v>-1</v>
      </c>
      <c r="H37" s="213" t="e">
        <f>#REF!*10</f>
        <v>#REF!</v>
      </c>
      <c r="I37" s="130" t="e">
        <f t="shared" si="2"/>
        <v>#REF!</v>
      </c>
      <c r="J37" s="214" t="e">
        <f t="shared" si="3"/>
        <v>#REF!</v>
      </c>
      <c r="L37" s="213">
        <f>'House Salary'!J36</f>
        <v>0</v>
      </c>
      <c r="M37" s="130">
        <f t="shared" si="4"/>
        <v>-35000</v>
      </c>
      <c r="N37" s="214"/>
    </row>
    <row r="38" spans="1:14" ht="15" x14ac:dyDescent="0.25">
      <c r="A38" s="128">
        <v>32</v>
      </c>
      <c r="B38" s="130">
        <v>51000</v>
      </c>
      <c r="D38" s="130"/>
      <c r="E38" s="130">
        <f t="shared" si="0"/>
        <v>-51000</v>
      </c>
      <c r="F38" s="214">
        <f t="shared" si="1"/>
        <v>-1</v>
      </c>
      <c r="H38" s="213" t="e">
        <f>#REF!*10</f>
        <v>#REF!</v>
      </c>
      <c r="I38" s="130" t="e">
        <f t="shared" si="2"/>
        <v>#REF!</v>
      </c>
      <c r="J38" s="214" t="e">
        <f t="shared" si="3"/>
        <v>#REF!</v>
      </c>
      <c r="L38" s="213">
        <f>'House Salary'!J37</f>
        <v>0</v>
      </c>
      <c r="M38" s="130">
        <f t="shared" si="4"/>
        <v>-35000</v>
      </c>
      <c r="N38" s="214"/>
    </row>
    <row r="39" spans="1:14" ht="15" x14ac:dyDescent="0.25">
      <c r="A39" s="128">
        <v>33</v>
      </c>
      <c r="B39" s="130">
        <v>51000</v>
      </c>
      <c r="D39" s="130"/>
      <c r="E39" s="130">
        <f t="shared" si="0"/>
        <v>-51000</v>
      </c>
      <c r="F39" s="214">
        <f t="shared" si="1"/>
        <v>-1</v>
      </c>
      <c r="H39" s="213" t="e">
        <f>#REF!*10</f>
        <v>#REF!</v>
      </c>
      <c r="I39" s="130" t="e">
        <f t="shared" si="2"/>
        <v>#REF!</v>
      </c>
      <c r="J39" s="214" t="e">
        <f t="shared" si="3"/>
        <v>#REF!</v>
      </c>
      <c r="L39" s="213">
        <f>'House Salary'!J38</f>
        <v>0</v>
      </c>
      <c r="M39" s="130">
        <f t="shared" si="4"/>
        <v>-35000</v>
      </c>
      <c r="N39" s="214"/>
    </row>
    <row r="40" spans="1:14" ht="15" x14ac:dyDescent="0.25">
      <c r="A40" s="128">
        <v>34</v>
      </c>
      <c r="B40" s="130">
        <v>51000</v>
      </c>
      <c r="D40" s="130"/>
      <c r="E40" s="130">
        <f t="shared" si="0"/>
        <v>-51000</v>
      </c>
      <c r="F40" s="214">
        <f t="shared" si="1"/>
        <v>-1</v>
      </c>
      <c r="H40" s="213" t="e">
        <f>#REF!*10</f>
        <v>#REF!</v>
      </c>
      <c r="I40" s="130" t="e">
        <f t="shared" si="2"/>
        <v>#REF!</v>
      </c>
      <c r="J40" s="214" t="e">
        <f>I40/B39</f>
        <v>#REF!</v>
      </c>
      <c r="L40" s="213">
        <f>'House Salary'!J39</f>
        <v>0</v>
      </c>
      <c r="M40" s="130">
        <f t="shared" si="4"/>
        <v>-35000</v>
      </c>
      <c r="N40" s="214"/>
    </row>
    <row r="41" spans="1:14" ht="15" x14ac:dyDescent="0.25">
      <c r="A41" s="128">
        <v>35</v>
      </c>
      <c r="B41" s="130">
        <v>51000</v>
      </c>
      <c r="D41" s="130"/>
      <c r="E41" s="130">
        <f t="shared" si="0"/>
        <v>-51000</v>
      </c>
      <c r="F41" s="214">
        <f t="shared" si="1"/>
        <v>-1</v>
      </c>
      <c r="H41" s="213" t="e">
        <f>#REF!*10</f>
        <v>#REF!</v>
      </c>
      <c r="I41" s="130" t="e">
        <f t="shared" si="2"/>
        <v>#REF!</v>
      </c>
      <c r="J41" s="214" t="e">
        <f t="shared" si="3"/>
        <v>#REF!</v>
      </c>
      <c r="L41" s="213">
        <f>'House Salary'!J40</f>
        <v>0</v>
      </c>
      <c r="M41" s="130">
        <f t="shared" si="4"/>
        <v>-35000</v>
      </c>
      <c r="N41" s="214"/>
    </row>
    <row r="42" spans="1:14" ht="15" x14ac:dyDescent="0.25">
      <c r="A42" s="128">
        <v>36</v>
      </c>
      <c r="B42" s="130">
        <v>51000</v>
      </c>
      <c r="D42" s="130"/>
      <c r="E42" s="130">
        <f t="shared" si="0"/>
        <v>-51000</v>
      </c>
      <c r="F42" s="214">
        <f t="shared" si="1"/>
        <v>-1</v>
      </c>
      <c r="H42" s="213" t="e">
        <f>#REF!*10</f>
        <v>#REF!</v>
      </c>
      <c r="I42" s="130" t="e">
        <f>H42-B41</f>
        <v>#REF!</v>
      </c>
      <c r="J42" s="214" t="e">
        <f>I42/B41</f>
        <v>#REF!</v>
      </c>
      <c r="L42" s="213">
        <f>'House Salary'!J41</f>
        <v>0</v>
      </c>
      <c r="M42" s="130">
        <f t="shared" si="4"/>
        <v>-35000</v>
      </c>
      <c r="N42" s="214"/>
    </row>
    <row r="43" spans="1:14" ht="15" x14ac:dyDescent="0.25">
      <c r="A43" s="133">
        <v>37</v>
      </c>
      <c r="B43" s="135">
        <v>51000</v>
      </c>
      <c r="D43" s="135"/>
      <c r="E43" s="135">
        <f t="shared" si="0"/>
        <v>-51000</v>
      </c>
      <c r="F43" s="219">
        <f t="shared" si="1"/>
        <v>-1</v>
      </c>
      <c r="H43" s="218" t="e">
        <f>#REF!*10</f>
        <v>#REF!</v>
      </c>
      <c r="I43" s="130" t="e">
        <f>H43-B42</f>
        <v>#REF!</v>
      </c>
      <c r="J43" s="219"/>
      <c r="L43" s="218">
        <f>'House Salary'!J42</f>
        <v>0</v>
      </c>
      <c r="M43" s="130">
        <f t="shared" si="4"/>
        <v>-35000</v>
      </c>
      <c r="N43" s="219"/>
    </row>
    <row r="44" spans="1:14" x14ac:dyDescent="0.2">
      <c r="D44" s="222" t="s">
        <v>52</v>
      </c>
      <c r="E44" s="223"/>
      <c r="F44" s="224"/>
      <c r="G44" s="107"/>
      <c r="H44" s="222" t="s">
        <v>52</v>
      </c>
      <c r="I44" s="223"/>
      <c r="J44" s="224"/>
      <c r="K44" s="107"/>
      <c r="L44" s="222" t="s">
        <v>52</v>
      </c>
      <c r="M44" s="48"/>
      <c r="N44" s="228"/>
    </row>
    <row r="45" spans="1:14" ht="12.75" customHeight="1" x14ac:dyDescent="0.2">
      <c r="D45" s="169"/>
      <c r="E45" s="52"/>
      <c r="F45" s="225"/>
      <c r="H45" s="512"/>
      <c r="I45" s="513"/>
      <c r="J45" s="514"/>
      <c r="L45" s="229"/>
      <c r="M45" s="52"/>
      <c r="N45" s="225"/>
    </row>
    <row r="46" spans="1:14" x14ac:dyDescent="0.2">
      <c r="D46" s="169"/>
      <c r="E46" s="52"/>
      <c r="F46" s="225"/>
      <c r="H46" s="512"/>
      <c r="I46" s="513"/>
      <c r="J46" s="514"/>
      <c r="L46" s="186"/>
      <c r="M46" s="52"/>
      <c r="N46" s="225"/>
    </row>
    <row r="47" spans="1:14" x14ac:dyDescent="0.2">
      <c r="D47" s="226"/>
      <c r="E47" s="51"/>
      <c r="F47" s="227"/>
      <c r="H47" s="226"/>
      <c r="I47" s="51"/>
      <c r="J47" s="227"/>
      <c r="L47" s="191"/>
      <c r="M47" s="51"/>
      <c r="N47" s="227"/>
    </row>
  </sheetData>
  <mergeCells count="2">
    <mergeCell ref="H45:J45"/>
    <mergeCell ref="H46:J46"/>
  </mergeCells>
  <pageMargins left="0.7" right="0.7" top="0.75" bottom="0.75" header="0.3" footer="0.3"/>
  <pageSetup scale="90" orientation="portrait" r:id="rId1"/>
  <headerFooter>
    <oddFooter>&amp;L&amp;"Arial,Italic"&amp;9Division of School Business
NC Department of Public Instruction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2020</vt:lpstr>
      <vt:lpstr>SalaryCompare</vt:lpstr>
      <vt:lpstr>TchrSalaryCompare</vt:lpstr>
      <vt:lpstr>Conference</vt:lpstr>
      <vt:lpstr>SBA</vt:lpstr>
      <vt:lpstr>House</vt:lpstr>
      <vt:lpstr>Senate</vt:lpstr>
      <vt:lpstr>salaries_benefits</vt:lpstr>
      <vt:lpstr>ScheduleComparison</vt:lpstr>
      <vt:lpstr>House Salary</vt:lpstr>
      <vt:lpstr>Governors Proposal</vt:lpstr>
      <vt:lpstr>'2020'!Print_Area</vt:lpstr>
      <vt:lpstr>'2020'!Print_Titles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sharris</dc:creator>
  <cp:lastModifiedBy>Nicola Lefler</cp:lastModifiedBy>
  <cp:lastPrinted>2019-06-27T12:39:32Z</cp:lastPrinted>
  <dcterms:created xsi:type="dcterms:W3CDTF">2012-05-10T17:30:33Z</dcterms:created>
  <dcterms:modified xsi:type="dcterms:W3CDTF">2019-07-26T14:08:48Z</dcterms:modified>
</cp:coreProperties>
</file>