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ola.lefler\Desktop\"/>
    </mc:Choice>
  </mc:AlternateContent>
  <xr:revisionPtr revIDLastSave="0" documentId="8_{5A96F216-F0FC-4A2B-B939-C27D146046F6}" xr6:coauthVersionLast="47" xr6:coauthVersionMax="47" xr10:uidLastSave="{00000000-0000-0000-0000-000000000000}"/>
  <bookViews>
    <workbookView xWindow="38280" yWindow="-120" windowWidth="19440" windowHeight="15000" xr2:uid="{00000000-000D-0000-FFFF-FFFF00000000}"/>
  </bookViews>
  <sheets>
    <sheet name="SwavgInitial23" sheetId="3" r:id="rId1"/>
  </sheets>
  <definedNames>
    <definedName name="_xlnm.Print_Area" localSheetId="0">SwavgInitial23!$A$1:$Y$94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" i="3" l="1"/>
  <c r="Q5" i="3" s="1"/>
  <c r="W6" i="3" s="1"/>
  <c r="U5" i="3"/>
  <c r="V5" i="3" s="1"/>
  <c r="W5" i="3" s="1"/>
  <c r="W8" i="3"/>
  <c r="P12" i="3"/>
  <c r="Q12" i="3" s="1"/>
  <c r="U12" i="3"/>
  <c r="V12" i="3" s="1"/>
  <c r="W12" i="3" s="1"/>
  <c r="W15" i="3"/>
  <c r="P19" i="3"/>
  <c r="U19" i="3"/>
  <c r="V19" i="3" s="1"/>
  <c r="P26" i="3"/>
  <c r="W27" i="3" s="1"/>
  <c r="V26" i="3"/>
  <c r="W26" i="3" s="1"/>
  <c r="P33" i="3"/>
  <c r="Q33" i="3" s="1"/>
  <c r="W34" i="3" s="1"/>
  <c r="U33" i="3"/>
  <c r="V33" i="3" s="1"/>
  <c r="W33" i="3" s="1"/>
  <c r="W36" i="3"/>
  <c r="P40" i="3"/>
  <c r="U40" i="3"/>
  <c r="V40" i="3" s="1"/>
  <c r="W40" i="3" s="1"/>
  <c r="W41" i="3"/>
  <c r="P47" i="3"/>
  <c r="U47" i="3"/>
  <c r="V47" i="3"/>
  <c r="W47" i="3" s="1"/>
  <c r="W49" i="3" s="1"/>
  <c r="P54" i="3"/>
  <c r="U54" i="3"/>
  <c r="V54" i="3" s="1"/>
  <c r="W54" i="3" s="1"/>
  <c r="W58" i="3" s="1"/>
  <c r="W55" i="3"/>
  <c r="W56" i="3"/>
  <c r="P61" i="3"/>
  <c r="U61" i="3"/>
  <c r="V61" i="3" s="1"/>
  <c r="W61" i="3" s="1"/>
  <c r="W62" i="3"/>
  <c r="P68" i="3"/>
  <c r="U68" i="3"/>
  <c r="V68" i="3" s="1"/>
  <c r="H8" i="3"/>
  <c r="W69" i="3" l="1"/>
  <c r="W68" i="3"/>
  <c r="W70" i="3" s="1"/>
  <c r="W48" i="3"/>
  <c r="W63" i="3"/>
  <c r="W65" i="3" s="1"/>
  <c r="W35" i="3"/>
  <c r="W37" i="3" s="1"/>
  <c r="W13" i="3"/>
  <c r="W16" i="3" s="1"/>
  <c r="W14" i="3"/>
  <c r="W72" i="3"/>
  <c r="W28" i="3"/>
  <c r="W30" i="3"/>
  <c r="W42" i="3"/>
  <c r="W44" i="3"/>
  <c r="W20" i="3"/>
  <c r="W21" i="3"/>
  <c r="W7" i="3"/>
  <c r="W9" i="3" s="1"/>
  <c r="W51" i="3"/>
  <c r="H29" i="3"/>
  <c r="J29" i="3"/>
  <c r="K29" i="3" s="1"/>
  <c r="M28" i="3"/>
  <c r="M27" i="3"/>
  <c r="H26" i="3"/>
  <c r="H28" i="3" s="1"/>
  <c r="J71" i="3"/>
  <c r="H71" i="3"/>
  <c r="H68" i="3"/>
  <c r="J64" i="3"/>
  <c r="H64" i="3"/>
  <c r="H61" i="3"/>
  <c r="J63" i="3" s="1"/>
  <c r="J57" i="3"/>
  <c r="H57" i="3"/>
  <c r="H54" i="3"/>
  <c r="J56" i="3" s="1"/>
  <c r="J50" i="3"/>
  <c r="H50" i="3"/>
  <c r="M49" i="3"/>
  <c r="M48" i="3"/>
  <c r="H47" i="3"/>
  <c r="J49" i="3" s="1"/>
  <c r="J43" i="3"/>
  <c r="H43" i="3"/>
  <c r="M42" i="3"/>
  <c r="M41" i="3"/>
  <c r="H40" i="3"/>
  <c r="J42" i="3" s="1"/>
  <c r="J36" i="3"/>
  <c r="H36" i="3"/>
  <c r="M35" i="3"/>
  <c r="M34" i="3"/>
  <c r="K33" i="3"/>
  <c r="H22" i="3"/>
  <c r="M21" i="3"/>
  <c r="M20" i="3"/>
  <c r="M23" i="3" s="1"/>
  <c r="H19" i="3"/>
  <c r="H20" i="3" s="1"/>
  <c r="J15" i="3"/>
  <c r="H15" i="3"/>
  <c r="M14" i="3"/>
  <c r="N14" i="3" s="1"/>
  <c r="M13" i="3"/>
  <c r="N13" i="3" s="1"/>
  <c r="K12" i="3"/>
  <c r="J8" i="3"/>
  <c r="M5" i="3"/>
  <c r="L5" i="3"/>
  <c r="K5" i="3"/>
  <c r="W23" i="3" l="1"/>
  <c r="H12" i="3"/>
  <c r="H14" i="3" s="1"/>
  <c r="H21" i="3"/>
  <c r="H23" i="3" s="1"/>
  <c r="H33" i="3"/>
  <c r="H35" i="3" s="1"/>
  <c r="M44" i="3"/>
  <c r="H5" i="3"/>
  <c r="H6" i="3" s="1"/>
  <c r="H27" i="3"/>
  <c r="H30" i="3" s="1"/>
  <c r="M30" i="3"/>
  <c r="J28" i="3"/>
  <c r="K28" i="3" s="1"/>
  <c r="K57" i="3"/>
  <c r="J27" i="3"/>
  <c r="K36" i="3"/>
  <c r="K64" i="3"/>
  <c r="J21" i="3"/>
  <c r="K15" i="3"/>
  <c r="K71" i="3"/>
  <c r="K8" i="3"/>
  <c r="M37" i="3"/>
  <c r="N37" i="3" s="1"/>
  <c r="K43" i="3"/>
  <c r="J34" i="3"/>
  <c r="H55" i="3"/>
  <c r="J55" i="3"/>
  <c r="H62" i="3"/>
  <c r="M16" i="3"/>
  <c r="N16" i="3" s="1"/>
  <c r="M51" i="3"/>
  <c r="H56" i="3"/>
  <c r="K56" i="3" s="1"/>
  <c r="K50" i="3"/>
  <c r="M7" i="3"/>
  <c r="J41" i="3"/>
  <c r="M6" i="3"/>
  <c r="M9" i="3" s="1"/>
  <c r="N9" i="3" s="1"/>
  <c r="H42" i="3"/>
  <c r="K42" i="3" s="1"/>
  <c r="H70" i="3"/>
  <c r="H48" i="3"/>
  <c r="J70" i="3"/>
  <c r="J20" i="3"/>
  <c r="K20" i="3" s="1"/>
  <c r="J22" i="3"/>
  <c r="K22" i="3" s="1"/>
  <c r="H49" i="3"/>
  <c r="K49" i="3" s="1"/>
  <c r="H63" i="3"/>
  <c r="K63" i="3" s="1"/>
  <c r="H69" i="3"/>
  <c r="J48" i="3"/>
  <c r="H41" i="3"/>
  <c r="J62" i="3"/>
  <c r="J69" i="3"/>
  <c r="J35" i="3" l="1"/>
  <c r="K35" i="3" s="1"/>
  <c r="J7" i="3"/>
  <c r="K62" i="3"/>
  <c r="H34" i="3"/>
  <c r="H37" i="3" s="1"/>
  <c r="K21" i="3"/>
  <c r="K41" i="3"/>
  <c r="J6" i="3"/>
  <c r="K6" i="3" s="1"/>
  <c r="H13" i="3"/>
  <c r="H16" i="3" s="1"/>
  <c r="J13" i="3"/>
  <c r="J14" i="3"/>
  <c r="K14" i="3" s="1"/>
  <c r="H7" i="3"/>
  <c r="K7" i="3" s="1"/>
  <c r="K48" i="3"/>
  <c r="K27" i="3"/>
  <c r="H58" i="3"/>
  <c r="H65" i="3"/>
  <c r="K55" i="3"/>
  <c r="H44" i="3"/>
  <c r="K69" i="3"/>
  <c r="H51" i="3"/>
  <c r="K70" i="3"/>
  <c r="H72" i="3"/>
  <c r="K34" i="3" l="1"/>
  <c r="H9" i="3"/>
  <c r="K13" i="3"/>
</calcChain>
</file>

<file path=xl/sharedStrings.xml><?xml version="1.0" encoding="utf-8"?>
<sst xmlns="http://schemas.openxmlformats.org/spreadsheetml/2006/main" count="56" uniqueCount="29">
  <si>
    <t>N.C. Department of Public Instruction</t>
  </si>
  <si>
    <t>Principals  (12 Months per Position)</t>
  </si>
  <si>
    <t>Social Security</t>
  </si>
  <si>
    <t>Retirement</t>
  </si>
  <si>
    <t>Hospitalization</t>
  </si>
  <si>
    <t>Assistant Principals (10 Months per Position)</t>
  </si>
  <si>
    <t>Instructional Support</t>
  </si>
  <si>
    <t>Clerical Assistants - See Note</t>
  </si>
  <si>
    <t>Teacher Assistants - See Note</t>
  </si>
  <si>
    <t>Custodians - See Note</t>
  </si>
  <si>
    <t>Social Security Rate</t>
  </si>
  <si>
    <t>Retirement Rate</t>
  </si>
  <si>
    <t>Hospitalization Rate</t>
  </si>
  <si>
    <t>Noncertified salaries (Clerical Assistants,Teacher Assistants, and Custodians) are based</t>
  </si>
  <si>
    <t>Teachers</t>
  </si>
  <si>
    <t xml:space="preserve">on 2006-07 5th pay period average salary increased by 4%.  Also increased by 1,100 based </t>
  </si>
  <si>
    <t>Notes:</t>
  </si>
  <si>
    <t>on 2008 Leg; increased by 1.2% based on HB 950, 2012.;SB 744 increase 500; HB1030 increased</t>
  </si>
  <si>
    <t>FY  16-17 - 1.5%.; FY 17-18 increase of 1,000. FY 18-19 increase of 2%. FY 19-20 increased by 1%</t>
  </si>
  <si>
    <t>FY20-21 Retirement per SL 2020-41; Hosp per SL 2020-45; no salary increases</t>
  </si>
  <si>
    <t>(Based on 2021-22 7th Pay Period Average Salaries )</t>
  </si>
  <si>
    <t xml:space="preserve">FY21-22 Retirement per SL 2021-180; Hosp per SL 2021-180; </t>
  </si>
  <si>
    <t>School Psychologist</t>
  </si>
  <si>
    <t>Program Enhancement Teachers</t>
  </si>
  <si>
    <t>CTE (10 months per Position)</t>
  </si>
  <si>
    <t>Average Salaries Used for 2022-23 Initial Allotments</t>
  </si>
  <si>
    <t>FY22-23 Retirement per SL 2022-103;  section 39.22c,Hosp no changed from SL2021-180 section 39.22</t>
  </si>
  <si>
    <t>FY21-22 increased by 1.5% for Teachers/IS/CTE/ and 2.5% for Asst. Principals and Principals</t>
  </si>
  <si>
    <t>and 4% for Tas, Custodian and Clerical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</si>
</sst>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164" formatCode="0.000%"/>
  </numFmts>
  <fonts count="24">
    <font>
      <sz val="12"/>
      <name val="Arial MT"/>
    </font>
    <font>
      <sz val="14"/>
      <color indexed="8"/>
      <name val="Arial MT"/>
    </font>
    <font>
      <i/>
      <sz val="12"/>
      <color indexed="8"/>
      <name val="Arial MT"/>
    </font>
    <font>
      <b/>
      <sz val="12"/>
      <color indexed="8"/>
      <name val="Arial MT"/>
    </font>
    <font>
      <sz val="16"/>
      <color indexed="8"/>
      <name val="Arial MT"/>
    </font>
    <font>
      <sz val="11"/>
      <name val="Arial MT"/>
    </font>
    <font>
      <b/>
      <sz val="11"/>
      <color indexed="8"/>
      <name val="Arial MT"/>
    </font>
    <font>
      <sz val="11"/>
      <color indexed="8"/>
      <name val="Arial MT"/>
    </font>
    <font>
      <sz val="10"/>
      <name val="Arial MT"/>
    </font>
    <font>
      <sz val="9.5"/>
      <name val="Arial MT"/>
    </font>
    <font>
      <sz val="8"/>
      <name val="Arial MT"/>
    </font>
    <font>
      <sz val="10"/>
      <color indexed="8"/>
      <name val="Arial MT"/>
    </font>
    <font>
      <sz val="12"/>
      <name val="Wingdings 2"/>
      <family val="1"/>
      <charset val="2"/>
    </font>
    <font>
      <sz val="12"/>
      <name val="Calibri"/>
      <family val="2"/>
    </font>
    <font>
      <sz val="10"/>
      <name val="Wingdings 2"/>
      <family val="1"/>
      <charset val="2"/>
    </font>
    <font>
      <sz val="10"/>
      <name val="Calibri"/>
      <family val="2"/>
    </font>
    <font>
      <sz val="9"/>
      <name val="Arial MT"/>
    </font>
    <font>
      <sz val="10"/>
      <color rgb="FFFF0000"/>
      <name val="Calibri"/>
      <family val="2"/>
    </font>
    <font>
      <sz val="10"/>
      <color rgb="FFFF0000"/>
      <name val="Arial MT"/>
    </font>
    <font>
      <sz val="12"/>
      <color rgb="FFFF0000"/>
      <name val="Arial MT"/>
    </font>
    <font>
      <b/>
      <sz val="12"/>
      <name val="Arial MT"/>
    </font>
    <font>
      <sz val="10"/>
      <name val="Arial"/>
      <family val="2"/>
    </font>
    <font>
      <b/>
      <sz val="10"/>
      <name val="Arial MT"/>
    </font>
    <font>
      <sz val="11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2" borderId="0"/>
    <xf numFmtId="0" fontId="21" fillId="0" borderId="0"/>
    <xf numFmtId="0" fontId="21" fillId="0" borderId="0"/>
  </cellStyleXfs>
  <cellXfs count="84">
    <xf numFmtId="0" fontId="0" fillId="2" borderId="0" xfId="0" applyNumberFormat="1" applyFill="1"/>
    <xf numFmtId="0" fontId="3" fillId="0" borderId="0" xfId="0" applyNumberFormat="1" applyFont="1" applyFill="1" applyAlignment="1">
      <alignment horizontal="centerContinuous"/>
    </xf>
    <xf numFmtId="0" fontId="3" fillId="0" borderId="0" xfId="0" applyNumberFormat="1" applyFont="1" applyFill="1" applyAlignment="1"/>
    <xf numFmtId="37" fontId="0" fillId="0" borderId="0" xfId="0" applyNumberFormat="1" applyFill="1"/>
    <xf numFmtId="5" fontId="6" fillId="0" borderId="1" xfId="0" applyNumberFormat="1" applyFont="1" applyFill="1" applyBorder="1"/>
    <xf numFmtId="0" fontId="0" fillId="0" borderId="0" xfId="0" quotePrefix="1" applyFill="1"/>
    <xf numFmtId="39" fontId="0" fillId="0" borderId="0" xfId="0" applyNumberFormat="1" applyFill="1"/>
    <xf numFmtId="7" fontId="0" fillId="0" borderId="0" xfId="0" applyNumberFormat="1" applyFill="1"/>
    <xf numFmtId="2" fontId="0" fillId="0" borderId="0" xfId="0" applyNumberFormat="1" applyFill="1"/>
    <xf numFmtId="0" fontId="13" fillId="0" borderId="0" xfId="0" applyNumberFormat="1" applyFont="1" applyFill="1"/>
    <xf numFmtId="0" fontId="17" fillId="0" borderId="0" xfId="0" applyNumberFormat="1" applyFont="1" applyFill="1"/>
    <xf numFmtId="0" fontId="18" fillId="0" borderId="0" xfId="0" applyNumberFormat="1" applyFont="1" applyFill="1"/>
    <xf numFmtId="0" fontId="19" fillId="0" borderId="0" xfId="0" applyFont="1" applyFill="1"/>
    <xf numFmtId="5" fontId="0" fillId="0" borderId="0" xfId="0" applyNumberFormat="1" applyFill="1"/>
    <xf numFmtId="0" fontId="0" fillId="0" borderId="0" xfId="0" applyNumberFormat="1" applyFill="1"/>
    <xf numFmtId="0" fontId="5" fillId="0" borderId="0" xfId="0" applyNumberFormat="1" applyFont="1" applyFill="1"/>
    <xf numFmtId="0" fontId="5" fillId="0" borderId="2" xfId="0" applyNumberFormat="1" applyFont="1" applyFill="1" applyBorder="1"/>
    <xf numFmtId="0" fontId="5" fillId="0" borderId="3" xfId="0" applyNumberFormat="1" applyFont="1" applyFill="1" applyBorder="1"/>
    <xf numFmtId="0" fontId="5" fillId="0" borderId="4" xfId="0" applyNumberFormat="1" applyFont="1" applyFill="1" applyBorder="1"/>
    <xf numFmtId="0" fontId="5" fillId="0" borderId="0" xfId="0" applyNumberFormat="1" applyFont="1" applyFill="1" applyAlignment="1"/>
    <xf numFmtId="0" fontId="5" fillId="0" borderId="3" xfId="0" applyNumberFormat="1" applyFont="1" applyFill="1" applyBorder="1" applyAlignment="1"/>
    <xf numFmtId="0" fontId="0" fillId="0" borderId="0" xfId="0" applyNumberFormat="1" applyFill="1" applyAlignment="1"/>
    <xf numFmtId="0" fontId="5" fillId="0" borderId="0" xfId="0" applyNumberFormat="1" applyFont="1" applyFill="1" applyBorder="1" applyAlignment="1"/>
    <xf numFmtId="0" fontId="8" fillId="0" borderId="0" xfId="0" applyNumberFormat="1" applyFont="1" applyFill="1"/>
    <xf numFmtId="0" fontId="9" fillId="0" borderId="0" xfId="0" applyNumberFormat="1" applyFont="1" applyFill="1"/>
    <xf numFmtId="0" fontId="10" fillId="0" borderId="0" xfId="0" applyNumberFormat="1" applyFont="1" applyFill="1"/>
    <xf numFmtId="0" fontId="8" fillId="0" borderId="0" xfId="0" applyNumberFormat="1" applyFont="1" applyFill="1" applyAlignment="1">
      <alignment horizontal="left"/>
    </xf>
    <xf numFmtId="0" fontId="8" fillId="0" borderId="0" xfId="0" quotePrefix="1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0" fontId="0" fillId="0" borderId="0" xfId="0" applyFill="1"/>
    <xf numFmtId="0" fontId="0" fillId="0" borderId="0" xfId="0" applyNumberFormat="1" applyFont="1" applyFill="1"/>
    <xf numFmtId="0" fontId="12" fillId="0" borderId="0" xfId="0" applyNumberFormat="1" applyFont="1" applyFill="1"/>
    <xf numFmtId="0" fontId="14" fillId="0" borderId="0" xfId="0" applyNumberFormat="1" applyFont="1" applyFill="1"/>
    <xf numFmtId="0" fontId="8" fillId="0" borderId="0" xfId="0" applyFont="1" applyFill="1"/>
    <xf numFmtId="0" fontId="15" fillId="0" borderId="0" xfId="0" applyNumberFormat="1" applyFont="1" applyFill="1"/>
    <xf numFmtId="0" fontId="16" fillId="0" borderId="0" xfId="0" applyNumberFormat="1" applyFont="1" applyFill="1"/>
    <xf numFmtId="0" fontId="0" fillId="0" borderId="0" xfId="0" applyFont="1" applyFill="1"/>
    <xf numFmtId="0" fontId="22" fillId="0" borderId="0" xfId="0" applyFont="1" applyFill="1"/>
    <xf numFmtId="0" fontId="5" fillId="0" borderId="0" xfId="0" applyNumberFormat="1" applyFont="1" applyFill="1" applyBorder="1"/>
    <xf numFmtId="0" fontId="13" fillId="0" borderId="5" xfId="0" applyNumberFormat="1" applyFont="1" applyFill="1" applyBorder="1"/>
    <xf numFmtId="0" fontId="13" fillId="0" borderId="0" xfId="0" applyNumberFormat="1" applyFont="1" applyFill="1" applyBorder="1"/>
    <xf numFmtId="0" fontId="5" fillId="0" borderId="6" xfId="0" applyNumberFormat="1" applyFont="1" applyFill="1" applyBorder="1"/>
    <xf numFmtId="0" fontId="6" fillId="0" borderId="7" xfId="0" applyNumberFormat="1" applyFont="1" applyFill="1" applyBorder="1" applyAlignment="1"/>
    <xf numFmtId="0" fontId="5" fillId="0" borderId="7" xfId="0" applyNumberFormat="1" applyFont="1" applyFill="1" applyBorder="1"/>
    <xf numFmtId="5" fontId="5" fillId="0" borderId="7" xfId="0" applyNumberFormat="1" applyFont="1" applyFill="1" applyBorder="1"/>
    <xf numFmtId="0" fontId="5" fillId="0" borderId="9" xfId="0" applyNumberFormat="1" applyFont="1" applyFill="1" applyBorder="1"/>
    <xf numFmtId="0" fontId="7" fillId="0" borderId="0" xfId="0" applyNumberFormat="1" applyFont="1" applyFill="1" applyBorder="1"/>
    <xf numFmtId="37" fontId="7" fillId="0" borderId="0" xfId="0" applyNumberFormat="1" applyFont="1" applyFill="1" applyBorder="1"/>
    <xf numFmtId="0" fontId="5" fillId="0" borderId="11" xfId="0" applyNumberFormat="1" applyFont="1" applyFill="1" applyBorder="1"/>
    <xf numFmtId="0" fontId="5" fillId="0" borderId="12" xfId="0" applyNumberFormat="1" applyFont="1" applyFill="1" applyBorder="1" applyAlignment="1"/>
    <xf numFmtId="0" fontId="5" fillId="0" borderId="12" xfId="0" applyNumberFormat="1" applyFont="1" applyFill="1" applyBorder="1"/>
    <xf numFmtId="5" fontId="6" fillId="0" borderId="13" xfId="0" applyNumberFormat="1" applyFont="1" applyFill="1" applyBorder="1"/>
    <xf numFmtId="0" fontId="5" fillId="0" borderId="14" xfId="0" applyNumberFormat="1" applyFont="1" applyFill="1" applyBorder="1"/>
    <xf numFmtId="0" fontId="23" fillId="0" borderId="8" xfId="0" applyNumberFormat="1" applyFont="1" applyFill="1" applyBorder="1"/>
    <xf numFmtId="0" fontId="23" fillId="0" borderId="10" xfId="0" applyNumberFormat="1" applyFont="1" applyFill="1" applyBorder="1"/>
    <xf numFmtId="0" fontId="23" fillId="0" borderId="0" xfId="0" applyNumberFormat="1" applyFont="1" applyFill="1" applyBorder="1"/>
    <xf numFmtId="0" fontId="0" fillId="0" borderId="0" xfId="0" applyNumberFormat="1" applyFill="1" applyBorder="1"/>
    <xf numFmtId="0" fontId="0" fillId="0" borderId="0" xfId="0" applyNumberFormat="1" applyFill="1" applyBorder="1" applyAlignment="1"/>
    <xf numFmtId="0" fontId="20" fillId="0" borderId="0" xfId="0" applyNumberFormat="1" applyFont="1" applyFill="1" applyAlignment="1"/>
    <xf numFmtId="0" fontId="23" fillId="0" borderId="14" xfId="0" applyNumberFormat="1" applyFont="1" applyFill="1" applyBorder="1"/>
    <xf numFmtId="0" fontId="5" fillId="0" borderId="7" xfId="0" applyNumberFormat="1" applyFont="1" applyFill="1" applyBorder="1" applyAlignment="1"/>
    <xf numFmtId="10" fontId="5" fillId="0" borderId="7" xfId="0" applyNumberFormat="1" applyFont="1" applyFill="1" applyBorder="1"/>
    <xf numFmtId="164" fontId="5" fillId="0" borderId="0" xfId="0" applyNumberFormat="1" applyFont="1" applyFill="1" applyBorder="1"/>
    <xf numFmtId="5" fontId="5" fillId="0" borderId="12" xfId="0" applyNumberFormat="1" applyFont="1" applyFill="1" applyBorder="1"/>
    <xf numFmtId="0" fontId="0" fillId="0" borderId="0" xfId="0" applyNumberFormat="1" applyFill="1"/>
    <xf numFmtId="0" fontId="8" fillId="0" borderId="0" xfId="0" applyNumberFormat="1" applyFont="1" applyFill="1"/>
    <xf numFmtId="0" fontId="9" fillId="0" borderId="0" xfId="0" applyNumberFormat="1" applyFont="1" applyFill="1"/>
    <xf numFmtId="0" fontId="9" fillId="0" borderId="0" xfId="0" applyNumberFormat="1" applyFont="1" applyFill="1" applyAlignment="1"/>
    <xf numFmtId="0" fontId="8" fillId="0" borderId="0" xfId="0" applyNumberFormat="1" applyFont="1" applyFill="1" applyAlignment="1"/>
    <xf numFmtId="0" fontId="8" fillId="0" borderId="0" xfId="0" applyNumberFormat="1" applyFont="1" applyFill="1" applyBorder="1" applyAlignment="1"/>
    <xf numFmtId="0" fontId="8" fillId="0" borderId="0" xfId="0" applyNumberFormat="1" applyFont="1" applyFill="1" applyAlignment="1">
      <alignment horizontal="center"/>
    </xf>
    <xf numFmtId="0" fontId="0" fillId="0" borderId="0" xfId="0" applyFill="1"/>
    <xf numFmtId="0" fontId="0" fillId="0" borderId="0" xfId="0" applyNumberFormat="1" applyFont="1" applyFill="1"/>
    <xf numFmtId="0" fontId="16" fillId="0" borderId="0" xfId="0" applyNumberFormat="1" applyFont="1" applyFill="1"/>
    <xf numFmtId="0" fontId="19" fillId="0" borderId="0" xfId="0" applyFont="1" applyFill="1"/>
    <xf numFmtId="0" fontId="8" fillId="0" borderId="0" xfId="0" applyNumberFormat="1" applyFont="1" applyFill="1"/>
    <xf numFmtId="0" fontId="11" fillId="0" borderId="0" xfId="0" applyNumberFormat="1" applyFont="1" applyFill="1" applyAlignment="1"/>
    <xf numFmtId="0" fontId="8" fillId="0" borderId="0" xfId="0" applyNumberFormat="1" applyFont="1" applyFill="1" applyAlignment="1"/>
    <xf numFmtId="0" fontId="11" fillId="0" borderId="7" xfId="0" applyNumberFormat="1" applyFont="1" applyFill="1" applyBorder="1" applyAlignment="1"/>
    <xf numFmtId="0" fontId="8" fillId="0" borderId="0" xfId="0" applyNumberFormat="1" applyFont="1" applyFill="1"/>
    <xf numFmtId="0" fontId="8" fillId="0" borderId="0" xfId="0" applyNumberFormat="1" applyFont="1" applyFill="1" applyAlignment="1"/>
    <xf numFmtId="0" fontId="4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</cellXfs>
  <cellStyles count="3">
    <cellStyle name="Normal" xfId="0" builtinId="0"/>
    <cellStyle name="Normal 10 2" xfId="2" xr:uid="{33D1EA63-AC1F-4550-B176-2F1FDF3936FD}"/>
    <cellStyle name="Normal 2" xfId="1" xr:uid="{3E0FAFEE-9FA9-4445-9723-088CAE6D1D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1E326-8408-48DC-87F0-FDE0777741B1}">
  <dimension ref="A1:W98"/>
  <sheetViews>
    <sheetView tabSelected="1" showOutlineSymbols="0" zoomScale="85" zoomScaleNormal="85" workbookViewId="0">
      <selection activeCell="A4" sqref="A4"/>
    </sheetView>
  </sheetViews>
  <sheetFormatPr defaultColWidth="11.44140625" defaultRowHeight="15"/>
  <cols>
    <col min="1" max="1" width="6.77734375" style="14" customWidth="1"/>
    <col min="2" max="2" width="8.44140625" style="21" customWidth="1"/>
    <col min="3" max="5" width="11.44140625" style="14" customWidth="1"/>
    <col min="6" max="6" width="5.6640625" style="14" customWidth="1"/>
    <col min="7" max="7" width="3.109375" style="14" customWidth="1"/>
    <col min="8" max="8" width="11.44140625" style="14" customWidth="1"/>
    <col min="9" max="9" width="1.33203125" style="14" customWidth="1"/>
    <col min="10" max="10" width="15" style="14" hidden="1" customWidth="1"/>
    <col min="11" max="14" width="11.44140625" style="14" hidden="1" customWidth="1"/>
    <col min="15" max="15" width="5.88671875" style="14" customWidth="1"/>
    <col min="16" max="17" width="0" style="14" hidden="1" customWidth="1"/>
    <col min="18" max="18" width="0" style="29" hidden="1" customWidth="1"/>
    <col min="19" max="19" width="7.33203125" style="29" hidden="1" customWidth="1"/>
    <col min="20" max="20" width="4.33203125" style="14" hidden="1" customWidth="1"/>
    <col min="21" max="23" width="0" style="14" hidden="1" customWidth="1"/>
    <col min="24" max="16384" width="11.44140625" style="14"/>
  </cols>
  <sheetData>
    <row r="1" spans="1:23" ht="20.25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spans="1:23" ht="18">
      <c r="A2" s="82" t="s">
        <v>25</v>
      </c>
      <c r="B2" s="82"/>
      <c r="C2" s="82"/>
      <c r="D2" s="82"/>
      <c r="E2" s="82"/>
      <c r="F2" s="82"/>
      <c r="G2" s="82"/>
      <c r="H2" s="82"/>
      <c r="I2" s="82"/>
    </row>
    <row r="3" spans="1:23" ht="14.1" customHeight="1">
      <c r="A3" s="83" t="s">
        <v>20</v>
      </c>
      <c r="B3" s="83"/>
      <c r="C3" s="83"/>
      <c r="D3" s="83"/>
      <c r="E3" s="83"/>
      <c r="F3" s="83"/>
      <c r="G3" s="83"/>
      <c r="H3" s="83"/>
      <c r="I3" s="83"/>
    </row>
    <row r="4" spans="1:23" ht="15" customHeight="1" thickBot="1">
      <c r="A4" s="79"/>
      <c r="B4" s="2"/>
      <c r="C4" s="1"/>
      <c r="D4" s="1"/>
      <c r="E4" s="1"/>
      <c r="F4" s="1"/>
      <c r="G4" s="1"/>
      <c r="H4" s="1"/>
      <c r="I4" s="1"/>
    </row>
    <row r="5" spans="1:23" ht="18" customHeight="1">
      <c r="A5" s="78"/>
      <c r="B5" s="42" t="s">
        <v>1</v>
      </c>
      <c r="C5" s="43"/>
      <c r="D5" s="43"/>
      <c r="E5" s="43"/>
      <c r="F5" s="43"/>
      <c r="G5" s="43"/>
      <c r="H5" s="44">
        <f>Q5</f>
        <v>7114</v>
      </c>
      <c r="I5" s="53"/>
      <c r="J5" s="3">
        <v>63856</v>
      </c>
      <c r="K5" s="14">
        <f>ROUND(J5/12,0)</f>
        <v>5321</v>
      </c>
      <c r="L5" s="14">
        <f>J5/12</f>
        <v>5321.333333333333</v>
      </c>
      <c r="M5" s="3">
        <f>J5</f>
        <v>63856</v>
      </c>
      <c r="O5" s="39"/>
      <c r="P5" s="14">
        <f>ROUND(82160*1.039,0)</f>
        <v>85364</v>
      </c>
      <c r="Q5" s="14">
        <f>ROUND(P5/12,0)</f>
        <v>7114</v>
      </c>
      <c r="R5" s="5"/>
      <c r="U5" s="14">
        <f>82160*1.5%</f>
        <v>1232.3999999999999</v>
      </c>
      <c r="V5" s="14">
        <f>U5+82160</f>
        <v>83392.399999999994</v>
      </c>
      <c r="W5" s="14">
        <f>ROUND(V5/12,0)</f>
        <v>6949</v>
      </c>
    </row>
    <row r="6" spans="1:23" ht="14.25" customHeight="1">
      <c r="A6" s="79"/>
      <c r="B6" s="22"/>
      <c r="C6" s="46" t="s">
        <v>2</v>
      </c>
      <c r="D6" s="38"/>
      <c r="E6" s="38"/>
      <c r="F6" s="38"/>
      <c r="G6" s="38"/>
      <c r="H6" s="47">
        <f>ROUND(H5*H$75,0)</f>
        <v>544</v>
      </c>
      <c r="I6" s="54"/>
      <c r="J6" s="3">
        <f>ROUND(H5*H75,0)</f>
        <v>544</v>
      </c>
      <c r="K6" s="3">
        <f>H6-J6</f>
        <v>0</v>
      </c>
      <c r="M6" s="8">
        <f>ROUND(M5*$H$75,0)</f>
        <v>4885</v>
      </c>
      <c r="O6" s="39"/>
      <c r="W6" s="14">
        <f>ROUND(Q5*0.0765,0)</f>
        <v>544</v>
      </c>
    </row>
    <row r="7" spans="1:23" ht="14.25" customHeight="1">
      <c r="A7" s="80"/>
      <c r="B7" s="22"/>
      <c r="C7" s="46" t="s">
        <v>3</v>
      </c>
      <c r="D7" s="38"/>
      <c r="E7" s="38"/>
      <c r="F7" s="38"/>
      <c r="G7" s="38"/>
      <c r="H7" s="47">
        <f>ROUND(H5*H$76,0)</f>
        <v>1743</v>
      </c>
      <c r="I7" s="54"/>
      <c r="J7" s="3">
        <f>ROUND(H5*H76,0)</f>
        <v>1743</v>
      </c>
      <c r="K7" s="3">
        <f>H7-J7</f>
        <v>0</v>
      </c>
      <c r="M7" s="8">
        <f>ROUND(M5*$H$76,0)</f>
        <v>15645</v>
      </c>
      <c r="O7" s="40"/>
      <c r="W7" s="14">
        <f>ROUND(Q5*24.5%,0)</f>
        <v>1743</v>
      </c>
    </row>
    <row r="8" spans="1:23" ht="14.25" customHeight="1">
      <c r="A8" s="80"/>
      <c r="B8" s="22"/>
      <c r="C8" s="46" t="s">
        <v>4</v>
      </c>
      <c r="D8" s="38"/>
      <c r="E8" s="38"/>
      <c r="F8" s="38"/>
      <c r="G8" s="38"/>
      <c r="H8" s="47">
        <f>ROUND(H77/12,0)</f>
        <v>616</v>
      </c>
      <c r="I8" s="54"/>
      <c r="J8" s="6">
        <f>ROUND(H77/12,0)</f>
        <v>616</v>
      </c>
      <c r="K8" s="3">
        <f>H8-J8</f>
        <v>0</v>
      </c>
      <c r="M8" s="14">
        <v>5192</v>
      </c>
      <c r="O8" s="9"/>
      <c r="W8" s="14">
        <f>ROUND(7397/12,0)</f>
        <v>616</v>
      </c>
    </row>
    <row r="9" spans="1:23" ht="15.75">
      <c r="A9" s="80"/>
      <c r="B9" s="22"/>
      <c r="C9" s="38"/>
      <c r="D9" s="38"/>
      <c r="E9" s="38"/>
      <c r="F9" s="38"/>
      <c r="G9" s="38"/>
      <c r="H9" s="4">
        <f>SUM(H5:H8)</f>
        <v>10017</v>
      </c>
      <c r="I9" s="54"/>
      <c r="J9" s="3"/>
      <c r="M9" s="14">
        <f>SUM(M5:M8)</f>
        <v>89578</v>
      </c>
      <c r="N9" s="14">
        <f>M9/12</f>
        <v>7464.833333333333</v>
      </c>
      <c r="O9" s="9"/>
      <c r="W9" s="14">
        <f>SUM(W5:W8)</f>
        <v>9852</v>
      </c>
    </row>
    <row r="10" spans="1:23" ht="5.0999999999999996" customHeight="1" thickBot="1">
      <c r="A10" s="48"/>
      <c r="B10" s="49"/>
      <c r="C10" s="50"/>
      <c r="D10" s="50"/>
      <c r="E10" s="50"/>
      <c r="F10" s="50"/>
      <c r="G10" s="50"/>
      <c r="H10" s="51"/>
      <c r="I10" s="52"/>
      <c r="J10" s="3"/>
    </row>
    <row r="11" spans="1:23" ht="8.1" customHeight="1" thickBot="1">
      <c r="A11" s="15"/>
      <c r="B11" s="19"/>
      <c r="C11" s="15"/>
      <c r="D11" s="15"/>
      <c r="E11" s="15"/>
      <c r="F11" s="15"/>
      <c r="G11" s="15"/>
      <c r="H11" s="15"/>
      <c r="I11" s="15"/>
      <c r="J11" s="3"/>
    </row>
    <row r="12" spans="1:23" ht="18" customHeight="1">
      <c r="A12" s="41"/>
      <c r="B12" s="42" t="s">
        <v>5</v>
      </c>
      <c r="C12" s="43"/>
      <c r="D12" s="43"/>
      <c r="E12" s="43"/>
      <c r="F12" s="43"/>
      <c r="G12" s="43"/>
      <c r="H12" s="44">
        <f>Q12</f>
        <v>6261</v>
      </c>
      <c r="I12" s="53"/>
      <c r="J12" s="3">
        <v>48849</v>
      </c>
      <c r="K12" s="14">
        <f>ROUND(J12/10,0)</f>
        <v>4885</v>
      </c>
      <c r="M12" s="14">
        <v>48849</v>
      </c>
      <c r="O12" s="9"/>
      <c r="P12" s="14">
        <f>ROUND(60909*1.028,0)</f>
        <v>62614</v>
      </c>
      <c r="Q12" s="14">
        <f>ROUND(P12/10,0)</f>
        <v>6261</v>
      </c>
      <c r="U12" s="14">
        <f>60909*3.4%</f>
        <v>2070.9059999999999</v>
      </c>
      <c r="V12" s="14">
        <f>U12+60909</f>
        <v>62979.906000000003</v>
      </c>
      <c r="W12" s="14">
        <f>ROUND(V12/10,0)</f>
        <v>6298</v>
      </c>
    </row>
    <row r="13" spans="1:23" ht="14.25" customHeight="1">
      <c r="A13" s="45"/>
      <c r="B13" s="22"/>
      <c r="C13" s="46" t="s">
        <v>2</v>
      </c>
      <c r="D13" s="38"/>
      <c r="E13" s="38"/>
      <c r="F13" s="38"/>
      <c r="G13" s="38"/>
      <c r="H13" s="47">
        <f>ROUND(H12*H$75,0)</f>
        <v>479</v>
      </c>
      <c r="I13" s="54"/>
      <c r="J13" s="3">
        <f>H12*H75</f>
        <v>478.9665</v>
      </c>
      <c r="K13" s="3">
        <f>H13-J13</f>
        <v>3.3500000000003638E-2</v>
      </c>
      <c r="M13" s="8">
        <f>ROUND(M12*$H$75,0)</f>
        <v>3737</v>
      </c>
      <c r="N13" s="14">
        <f>M13/10</f>
        <v>373.7</v>
      </c>
      <c r="O13" s="9"/>
      <c r="W13" s="14">
        <f>ROUND(Q12*0.0765,0)</f>
        <v>479</v>
      </c>
    </row>
    <row r="14" spans="1:23" ht="14.25" customHeight="1">
      <c r="A14" s="45"/>
      <c r="B14" s="22"/>
      <c r="C14" s="46" t="s">
        <v>3</v>
      </c>
      <c r="D14" s="38"/>
      <c r="E14" s="38"/>
      <c r="F14" s="38"/>
      <c r="G14" s="38"/>
      <c r="H14" s="47">
        <f>ROUND(H12*H$76,0)</f>
        <v>1534</v>
      </c>
      <c r="I14" s="54"/>
      <c r="J14" s="3">
        <f>H12*H76</f>
        <v>1533.9449999999999</v>
      </c>
      <c r="K14" s="3">
        <f>H14-J14</f>
        <v>5.5000000000063665E-2</v>
      </c>
      <c r="M14" s="8">
        <f>ROUND(M12*$H$76,0)</f>
        <v>11968</v>
      </c>
      <c r="N14" s="14">
        <f>M14/10</f>
        <v>1196.8</v>
      </c>
      <c r="O14" s="9"/>
      <c r="W14" s="14">
        <f>ROUND(Q12*24.5%,0)</f>
        <v>1534</v>
      </c>
    </row>
    <row r="15" spans="1:23" ht="15.75" customHeight="1">
      <c r="A15" s="45"/>
      <c r="B15" s="22"/>
      <c r="C15" s="46" t="s">
        <v>4</v>
      </c>
      <c r="D15" s="38"/>
      <c r="E15" s="38"/>
      <c r="F15" s="38"/>
      <c r="G15" s="38"/>
      <c r="H15" s="47">
        <f>ROUND(+H$77/10,0)</f>
        <v>740</v>
      </c>
      <c r="I15" s="54"/>
      <c r="J15" s="3">
        <f>H77/10</f>
        <v>739.7</v>
      </c>
      <c r="K15" s="3">
        <f>H15-J15</f>
        <v>0.29999999999995453</v>
      </c>
      <c r="M15" s="14">
        <v>5192</v>
      </c>
      <c r="O15" s="9"/>
      <c r="W15" s="14">
        <f>ROUND(7397/10,0)</f>
        <v>740</v>
      </c>
    </row>
    <row r="16" spans="1:23" ht="15.75">
      <c r="A16" s="45"/>
      <c r="B16" s="22"/>
      <c r="C16" s="38"/>
      <c r="D16" s="38"/>
      <c r="E16" s="38"/>
      <c r="F16" s="38"/>
      <c r="G16" s="38"/>
      <c r="H16" s="4">
        <f>SUM(H12:H15)</f>
        <v>9014</v>
      </c>
      <c r="I16" s="54"/>
      <c r="J16" s="3"/>
      <c r="M16" s="14">
        <f>SUM(M12:M15)</f>
        <v>69746</v>
      </c>
      <c r="N16" s="14">
        <f>M16/10</f>
        <v>6974.6</v>
      </c>
      <c r="O16" s="9"/>
      <c r="W16" s="14">
        <f>SUM(W12:W15)</f>
        <v>9051</v>
      </c>
    </row>
    <row r="17" spans="1:23" ht="5.0999999999999996" customHeight="1" thickBot="1">
      <c r="A17" s="48"/>
      <c r="B17" s="49"/>
      <c r="C17" s="50"/>
      <c r="D17" s="50"/>
      <c r="E17" s="50"/>
      <c r="F17" s="50"/>
      <c r="G17" s="50"/>
      <c r="H17" s="51"/>
      <c r="I17" s="52"/>
      <c r="J17" s="3"/>
    </row>
    <row r="18" spans="1:23" ht="8.1" customHeight="1" thickBot="1">
      <c r="A18" s="15"/>
      <c r="B18" s="19"/>
      <c r="C18" s="15"/>
      <c r="D18" s="15"/>
      <c r="E18" s="15"/>
      <c r="F18" s="15"/>
      <c r="G18" s="15"/>
      <c r="H18" s="15"/>
      <c r="I18" s="15"/>
    </row>
    <row r="19" spans="1:23" s="29" customFormat="1" ht="18" customHeight="1">
      <c r="A19" s="41"/>
      <c r="B19" s="42" t="s">
        <v>14</v>
      </c>
      <c r="C19" s="43"/>
      <c r="D19" s="43"/>
      <c r="E19" s="43"/>
      <c r="F19" s="43"/>
      <c r="G19" s="43"/>
      <c r="H19" s="44">
        <f>P19</f>
        <v>51076</v>
      </c>
      <c r="I19" s="53"/>
      <c r="J19" s="3">
        <v>41083</v>
      </c>
      <c r="K19" s="14"/>
      <c r="L19" s="7"/>
      <c r="M19" s="14">
        <v>41083</v>
      </c>
      <c r="N19" s="14"/>
      <c r="O19" s="9"/>
      <c r="P19" s="14">
        <f>ROUND(49685*1.028,0)</f>
        <v>51076</v>
      </c>
      <c r="Q19" s="14"/>
      <c r="T19" s="14"/>
      <c r="U19" s="14">
        <f>ROUND(49685*4.2%,0)</f>
        <v>2087</v>
      </c>
      <c r="V19" s="29">
        <f>U19+49685</f>
        <v>51772</v>
      </c>
      <c r="W19" s="29">
        <v>51772</v>
      </c>
    </row>
    <row r="20" spans="1:23" s="29" customFormat="1" ht="17.25" customHeight="1">
      <c r="A20" s="45"/>
      <c r="B20" s="22"/>
      <c r="C20" s="46" t="s">
        <v>2</v>
      </c>
      <c r="D20" s="38"/>
      <c r="E20" s="38"/>
      <c r="F20" s="38"/>
      <c r="G20" s="38"/>
      <c r="H20" s="47">
        <f>ROUND(H19*H$75,0)</f>
        <v>3907</v>
      </c>
      <c r="I20" s="54"/>
      <c r="J20" s="7">
        <f>H19*H75</f>
        <v>3907.3139999999999</v>
      </c>
      <c r="K20" s="3">
        <f>H20-J20</f>
        <v>-0.31399999999985084</v>
      </c>
      <c r="L20" s="14"/>
      <c r="M20" s="8">
        <f>ROUND(M19*$H$75,0)</f>
        <v>3143</v>
      </c>
      <c r="N20" s="14"/>
      <c r="O20" s="9"/>
      <c r="P20" s="14"/>
      <c r="Q20" s="14"/>
      <c r="T20" s="14"/>
      <c r="U20" s="14"/>
      <c r="W20" s="29">
        <f>ROUND(V19*0.0765,0)</f>
        <v>3961</v>
      </c>
    </row>
    <row r="21" spans="1:23" s="29" customFormat="1" ht="16.5" customHeight="1">
      <c r="A21" s="45"/>
      <c r="B21" s="22"/>
      <c r="C21" s="46" t="s">
        <v>3</v>
      </c>
      <c r="D21" s="38"/>
      <c r="E21" s="38"/>
      <c r="F21" s="38"/>
      <c r="G21" s="38"/>
      <c r="H21" s="47">
        <f>ROUND(H19*H$76,0)</f>
        <v>12514</v>
      </c>
      <c r="I21" s="54"/>
      <c r="J21" s="7">
        <f>H19*H76</f>
        <v>12513.619999999999</v>
      </c>
      <c r="K21" s="3">
        <f>H21-J21</f>
        <v>0.38000000000101863</v>
      </c>
      <c r="L21" s="14"/>
      <c r="M21" s="8">
        <f>ROUND(M19*$H$76,0)</f>
        <v>10065</v>
      </c>
      <c r="N21" s="14"/>
      <c r="O21" s="9"/>
      <c r="P21" s="14"/>
      <c r="Q21" s="14"/>
      <c r="T21" s="14"/>
      <c r="U21" s="14"/>
      <c r="W21" s="29">
        <f>ROUND(V19*24.5%,0)</f>
        <v>12684</v>
      </c>
    </row>
    <row r="22" spans="1:23" s="29" customFormat="1" ht="15.75" customHeight="1">
      <c r="A22" s="45"/>
      <c r="B22" s="22"/>
      <c r="C22" s="46" t="s">
        <v>4</v>
      </c>
      <c r="D22" s="38"/>
      <c r="E22" s="38"/>
      <c r="F22" s="38"/>
      <c r="G22" s="38"/>
      <c r="H22" s="47">
        <f>H$77</f>
        <v>7397</v>
      </c>
      <c r="I22" s="54"/>
      <c r="J22" s="3">
        <f>H71</f>
        <v>7397</v>
      </c>
      <c r="K22" s="3">
        <f>H22-J22</f>
        <v>0</v>
      </c>
      <c r="L22" s="14"/>
      <c r="M22" s="14">
        <v>5192</v>
      </c>
      <c r="N22" s="14"/>
      <c r="O22" s="9"/>
      <c r="P22" s="14"/>
      <c r="Q22" s="14"/>
      <c r="T22" s="14"/>
      <c r="U22" s="14"/>
      <c r="W22" s="29">
        <v>7397</v>
      </c>
    </row>
    <row r="23" spans="1:23" s="29" customFormat="1" ht="15.75">
      <c r="A23" s="45"/>
      <c r="B23" s="22"/>
      <c r="C23" s="38"/>
      <c r="D23" s="38"/>
      <c r="E23" s="38"/>
      <c r="F23" s="38"/>
      <c r="G23" s="38"/>
      <c r="H23" s="4">
        <f>SUM(H19:H22)</f>
        <v>74894</v>
      </c>
      <c r="I23" s="54"/>
      <c r="J23" s="3"/>
      <c r="K23" s="14"/>
      <c r="L23" s="14"/>
      <c r="M23" s="14">
        <f>SUM(M19:M22)</f>
        <v>59483</v>
      </c>
      <c r="N23" s="14"/>
      <c r="O23" s="9"/>
      <c r="P23" s="14"/>
      <c r="Q23" s="14"/>
      <c r="T23" s="14"/>
      <c r="U23" s="14"/>
      <c r="W23" s="29">
        <f>SUM(W19:W22)</f>
        <v>75814</v>
      </c>
    </row>
    <row r="24" spans="1:23" s="29" customFormat="1" ht="5.0999999999999996" customHeight="1" thickBot="1">
      <c r="A24" s="48"/>
      <c r="B24" s="49"/>
      <c r="C24" s="50"/>
      <c r="D24" s="50"/>
      <c r="E24" s="50"/>
      <c r="F24" s="50"/>
      <c r="G24" s="50"/>
      <c r="H24" s="51"/>
      <c r="I24" s="52"/>
      <c r="J24" s="14"/>
      <c r="K24" s="14"/>
      <c r="L24" s="14"/>
      <c r="M24" s="14"/>
      <c r="N24" s="14"/>
      <c r="O24" s="14"/>
      <c r="P24" s="14"/>
      <c r="Q24" s="14"/>
      <c r="T24" s="14"/>
      <c r="U24" s="14"/>
    </row>
    <row r="25" spans="1:23" s="29" customFormat="1" ht="8.1" customHeight="1" thickBot="1">
      <c r="A25" s="15"/>
      <c r="B25" s="19"/>
      <c r="C25" s="15"/>
      <c r="D25" s="15"/>
      <c r="E25" s="15"/>
      <c r="F25" s="15"/>
      <c r="G25" s="15"/>
      <c r="H25" s="15"/>
      <c r="I25" s="15"/>
      <c r="J25" s="14"/>
      <c r="K25" s="14"/>
      <c r="L25" s="14"/>
      <c r="M25" s="14"/>
      <c r="N25" s="14"/>
      <c r="O25" s="14"/>
      <c r="P25" s="14"/>
      <c r="Q25" s="14"/>
      <c r="T25" s="14"/>
      <c r="U25" s="14"/>
    </row>
    <row r="26" spans="1:23" s="29" customFormat="1" ht="18" customHeight="1">
      <c r="A26" s="41"/>
      <c r="B26" s="42" t="s">
        <v>23</v>
      </c>
      <c r="C26" s="43"/>
      <c r="D26" s="43"/>
      <c r="E26" s="43"/>
      <c r="F26" s="43"/>
      <c r="G26" s="43"/>
      <c r="H26" s="44">
        <f>P26</f>
        <v>51300</v>
      </c>
      <c r="I26" s="53"/>
      <c r="J26" s="3">
        <v>41083</v>
      </c>
      <c r="K26" s="14"/>
      <c r="L26" s="7"/>
      <c r="M26" s="14">
        <v>41083</v>
      </c>
      <c r="N26" s="14"/>
      <c r="O26" s="9"/>
      <c r="P26" s="14">
        <f>ROUND(49903*1.028,0)</f>
        <v>51300</v>
      </c>
      <c r="Q26" s="14"/>
      <c r="T26" s="14"/>
      <c r="U26" s="14"/>
      <c r="V26" s="29">
        <f>ROUND(49903*4.2%,0)</f>
        <v>2096</v>
      </c>
      <c r="W26" s="29">
        <f>49903+V26</f>
        <v>51999</v>
      </c>
    </row>
    <row r="27" spans="1:23" s="29" customFormat="1" ht="17.25" customHeight="1">
      <c r="A27" s="45"/>
      <c r="B27" s="22"/>
      <c r="C27" s="46" t="s">
        <v>2</v>
      </c>
      <c r="D27" s="38"/>
      <c r="E27" s="38"/>
      <c r="F27" s="38"/>
      <c r="G27" s="38"/>
      <c r="H27" s="47">
        <f>ROUND(H26*H$75,0)</f>
        <v>3924</v>
      </c>
      <c r="I27" s="54"/>
      <c r="J27" s="7">
        <f>H26*H82</f>
        <v>0</v>
      </c>
      <c r="K27" s="3">
        <f>H27-J27</f>
        <v>3924</v>
      </c>
      <c r="L27" s="14"/>
      <c r="M27" s="8">
        <f>ROUND(M26*$H$75,0)</f>
        <v>3143</v>
      </c>
      <c r="N27" s="14"/>
      <c r="O27" s="9"/>
      <c r="P27" s="14"/>
      <c r="Q27" s="14"/>
      <c r="T27" s="14"/>
      <c r="U27" s="14"/>
      <c r="W27" s="29">
        <f>ROUND(P26*0.0765,0)</f>
        <v>3924</v>
      </c>
    </row>
    <row r="28" spans="1:23" s="29" customFormat="1" ht="16.5" customHeight="1">
      <c r="A28" s="45"/>
      <c r="B28" s="22"/>
      <c r="C28" s="46" t="s">
        <v>3</v>
      </c>
      <c r="D28" s="38"/>
      <c r="E28" s="38"/>
      <c r="F28" s="38"/>
      <c r="G28" s="38"/>
      <c r="H28" s="47">
        <f>ROUND(H26*H$76,0)</f>
        <v>12569</v>
      </c>
      <c r="I28" s="54"/>
      <c r="J28" s="7">
        <f>H26*H83</f>
        <v>0</v>
      </c>
      <c r="K28" s="3">
        <f>H28-J28</f>
        <v>12569</v>
      </c>
      <c r="L28" s="14"/>
      <c r="M28" s="8">
        <f>ROUND(M26*$H$76,0)</f>
        <v>10065</v>
      </c>
      <c r="N28" s="14"/>
      <c r="O28" s="9"/>
      <c r="P28" s="14"/>
      <c r="Q28" s="14"/>
      <c r="T28" s="14"/>
      <c r="U28" s="14"/>
      <c r="W28" s="29">
        <f>ROUND(W26*24.5%,0)</f>
        <v>12740</v>
      </c>
    </row>
    <row r="29" spans="1:23" s="29" customFormat="1" ht="15.75" customHeight="1">
      <c r="A29" s="45"/>
      <c r="B29" s="22"/>
      <c r="C29" s="46" t="s">
        <v>4</v>
      </c>
      <c r="D29" s="38"/>
      <c r="E29" s="38"/>
      <c r="F29" s="38"/>
      <c r="G29" s="38"/>
      <c r="H29" s="47">
        <f>H$77</f>
        <v>7397</v>
      </c>
      <c r="I29" s="54"/>
      <c r="J29" s="3">
        <f>H78</f>
        <v>0</v>
      </c>
      <c r="K29" s="3">
        <f>H29-J29</f>
        <v>7397</v>
      </c>
      <c r="L29" s="14"/>
      <c r="M29" s="14">
        <v>5192</v>
      </c>
      <c r="N29" s="14"/>
      <c r="O29" s="9"/>
      <c r="P29" s="14"/>
      <c r="Q29" s="14"/>
      <c r="T29" s="14"/>
      <c r="U29" s="14"/>
      <c r="W29" s="29">
        <v>7397</v>
      </c>
    </row>
    <row r="30" spans="1:23" s="29" customFormat="1" ht="15.75">
      <c r="A30" s="45"/>
      <c r="B30" s="22"/>
      <c r="C30" s="38"/>
      <c r="D30" s="38"/>
      <c r="E30" s="38"/>
      <c r="F30" s="38"/>
      <c r="G30" s="38"/>
      <c r="H30" s="4">
        <f>SUM(H26:H29)</f>
        <v>75190</v>
      </c>
      <c r="I30" s="54"/>
      <c r="J30" s="3"/>
      <c r="K30" s="14"/>
      <c r="L30" s="14"/>
      <c r="M30" s="14">
        <f>SUM(M26:M29)</f>
        <v>59483</v>
      </c>
      <c r="N30" s="14"/>
      <c r="O30" s="9"/>
      <c r="P30" s="14"/>
      <c r="Q30" s="14"/>
      <c r="T30" s="14"/>
      <c r="U30" s="14"/>
      <c r="W30" s="29">
        <f>SUM(W26:W29)</f>
        <v>76060</v>
      </c>
    </row>
    <row r="31" spans="1:23" s="29" customFormat="1" ht="5.0999999999999996" customHeight="1" thickBot="1">
      <c r="A31" s="48"/>
      <c r="B31" s="49"/>
      <c r="C31" s="50"/>
      <c r="D31" s="50"/>
      <c r="E31" s="50"/>
      <c r="F31" s="50"/>
      <c r="G31" s="50"/>
      <c r="H31" s="51"/>
      <c r="I31" s="52"/>
      <c r="J31" s="14"/>
      <c r="K31" s="14"/>
      <c r="L31" s="14"/>
      <c r="M31" s="14"/>
      <c r="N31" s="14"/>
      <c r="O31" s="14"/>
      <c r="P31" s="14"/>
      <c r="Q31" s="14"/>
      <c r="T31" s="14"/>
      <c r="U31" s="14"/>
    </row>
    <row r="32" spans="1:23" s="29" customFormat="1" ht="8.1" customHeight="1" thickBot="1">
      <c r="A32" s="15"/>
      <c r="B32" s="19"/>
      <c r="C32" s="15"/>
      <c r="D32" s="15"/>
      <c r="E32" s="15"/>
      <c r="F32" s="15"/>
      <c r="G32" s="15"/>
      <c r="H32" s="15"/>
      <c r="I32" s="15"/>
      <c r="J32" s="14"/>
      <c r="K32" s="14"/>
      <c r="L32" s="14"/>
      <c r="M32" s="14"/>
      <c r="N32" s="14"/>
      <c r="O32" s="14"/>
      <c r="P32" s="14"/>
      <c r="Q32" s="14"/>
      <c r="T32" s="14"/>
      <c r="U32" s="14"/>
    </row>
    <row r="33" spans="1:23" s="29" customFormat="1" ht="18" customHeight="1">
      <c r="A33" s="41"/>
      <c r="B33" s="42" t="s">
        <v>24</v>
      </c>
      <c r="C33" s="43"/>
      <c r="D33" s="43"/>
      <c r="E33" s="43"/>
      <c r="F33" s="43"/>
      <c r="G33" s="43"/>
      <c r="H33" s="44">
        <f>Q33</f>
        <v>5193</v>
      </c>
      <c r="I33" s="53"/>
      <c r="J33" s="3">
        <v>43540</v>
      </c>
      <c r="K33" s="14">
        <f>ROUND(J33/10,0)</f>
        <v>4354</v>
      </c>
      <c r="L33" s="14"/>
      <c r="M33" s="14">
        <v>43540</v>
      </c>
      <c r="N33" s="14"/>
      <c r="O33" s="9"/>
      <c r="P33" s="14">
        <f>ROUND(50515*1.028,0)</f>
        <v>51929</v>
      </c>
      <c r="Q33" s="14">
        <f>ROUND(P33/10,0)</f>
        <v>5193</v>
      </c>
      <c r="T33" s="14"/>
      <c r="U33" s="14">
        <f>ROUND(50515*4.2%,0)</f>
        <v>2122</v>
      </c>
      <c r="V33" s="29">
        <f>50515+U33</f>
        <v>52637</v>
      </c>
      <c r="W33" s="29">
        <f>ROUND(V33/10,0)</f>
        <v>5264</v>
      </c>
    </row>
    <row r="34" spans="1:23" s="29" customFormat="1" ht="16.5" customHeight="1">
      <c r="A34" s="45"/>
      <c r="B34" s="22"/>
      <c r="C34" s="46" t="s">
        <v>2</v>
      </c>
      <c r="D34" s="38"/>
      <c r="E34" s="38"/>
      <c r="F34" s="38"/>
      <c r="G34" s="38"/>
      <c r="H34" s="47">
        <f>ROUND(H33*H$75,0)</f>
        <v>397</v>
      </c>
      <c r="I34" s="54"/>
      <c r="J34" s="7">
        <f>H33*H75</f>
        <v>397.2645</v>
      </c>
      <c r="K34" s="3">
        <f>H34-J34</f>
        <v>-0.26449999999999818</v>
      </c>
      <c r="L34" s="14"/>
      <c r="M34" s="8">
        <f>ROUND(M33*$H$75,0)</f>
        <v>3331</v>
      </c>
      <c r="N34" s="14"/>
      <c r="O34" s="9"/>
      <c r="P34" s="14"/>
      <c r="Q34" s="14"/>
      <c r="T34" s="14"/>
      <c r="U34" s="14"/>
      <c r="W34" s="29">
        <f>ROUND(Q33*0.0765,0)</f>
        <v>397</v>
      </c>
    </row>
    <row r="35" spans="1:23" s="29" customFormat="1" ht="15.75" customHeight="1">
      <c r="A35" s="45"/>
      <c r="B35" s="22"/>
      <c r="C35" s="46" t="s">
        <v>3</v>
      </c>
      <c r="D35" s="38"/>
      <c r="E35" s="38"/>
      <c r="F35" s="38"/>
      <c r="G35" s="38"/>
      <c r="H35" s="47">
        <f>ROUND(H33*H$76,0)</f>
        <v>1272</v>
      </c>
      <c r="I35" s="54"/>
      <c r="J35" s="7">
        <f>H33*H76</f>
        <v>1272.2850000000001</v>
      </c>
      <c r="K35" s="3">
        <f>H35-J35</f>
        <v>-0.28500000000008185</v>
      </c>
      <c r="L35" s="14"/>
      <c r="M35" s="8">
        <f>ROUND(M33*$H$76,0)</f>
        <v>10667</v>
      </c>
      <c r="N35" s="14"/>
      <c r="O35" s="9"/>
      <c r="P35" s="14"/>
      <c r="Q35" s="14"/>
      <c r="T35" s="14"/>
      <c r="U35" s="14"/>
      <c r="W35" s="29">
        <f>ROUND(W33*24.5%,0)</f>
        <v>1290</v>
      </c>
    </row>
    <row r="36" spans="1:23" s="29" customFormat="1" ht="16.5" customHeight="1">
      <c r="A36" s="45"/>
      <c r="B36" s="22"/>
      <c r="C36" s="46" t="s">
        <v>4</v>
      </c>
      <c r="D36" s="38"/>
      <c r="E36" s="38"/>
      <c r="F36" s="38"/>
      <c r="G36" s="38"/>
      <c r="H36" s="47">
        <f>ROUND(+H$77/10,0)</f>
        <v>740</v>
      </c>
      <c r="I36" s="54"/>
      <c r="J36" s="7">
        <f>H77/10</f>
        <v>739.7</v>
      </c>
      <c r="K36" s="3">
        <f>H36-J36</f>
        <v>0.29999999999995453</v>
      </c>
      <c r="L36" s="14"/>
      <c r="M36" s="14">
        <v>5192</v>
      </c>
      <c r="N36" s="14"/>
      <c r="O36" s="9"/>
      <c r="P36" s="14"/>
      <c r="Q36" s="14"/>
      <c r="T36" s="14"/>
      <c r="U36" s="14"/>
      <c r="W36" s="29">
        <f>ROUND(7397/10,0)</f>
        <v>740</v>
      </c>
    </row>
    <row r="37" spans="1:23" s="29" customFormat="1" ht="15.75">
      <c r="A37" s="45"/>
      <c r="B37" s="22"/>
      <c r="C37" s="38"/>
      <c r="D37" s="38"/>
      <c r="E37" s="38"/>
      <c r="F37" s="38"/>
      <c r="G37" s="38"/>
      <c r="H37" s="4">
        <f>SUM(H33:H36)</f>
        <v>7602</v>
      </c>
      <c r="I37" s="54"/>
      <c r="J37" s="14"/>
      <c r="K37" s="14"/>
      <c r="L37" s="14"/>
      <c r="M37" s="14">
        <f>SUM(M33:M36)</f>
        <v>62730</v>
      </c>
      <c r="N37" s="14">
        <f>M37/10</f>
        <v>6273</v>
      </c>
      <c r="O37" s="9"/>
      <c r="P37" s="14"/>
      <c r="Q37" s="14"/>
      <c r="T37" s="14"/>
      <c r="U37" s="14"/>
      <c r="W37" s="29">
        <f>SUM(W33:W36)</f>
        <v>7691</v>
      </c>
    </row>
    <row r="38" spans="1:23" s="29" customFormat="1" ht="5.0999999999999996" customHeight="1" thickBot="1">
      <c r="A38" s="48"/>
      <c r="B38" s="49"/>
      <c r="C38" s="50"/>
      <c r="D38" s="50"/>
      <c r="E38" s="50"/>
      <c r="F38" s="50"/>
      <c r="G38" s="50"/>
      <c r="H38" s="51"/>
      <c r="I38" s="59"/>
      <c r="J38" s="14"/>
      <c r="K38" s="14"/>
      <c r="L38" s="14"/>
      <c r="M38" s="14"/>
      <c r="N38" s="14"/>
      <c r="O38" s="14"/>
      <c r="P38" s="14"/>
      <c r="Q38" s="14"/>
      <c r="T38" s="14"/>
      <c r="U38" s="14"/>
    </row>
    <row r="39" spans="1:23" s="29" customFormat="1" ht="8.1" customHeight="1" thickBot="1">
      <c r="A39" s="15"/>
      <c r="B39" s="19"/>
      <c r="C39" s="15"/>
      <c r="D39" s="15"/>
      <c r="E39" s="15"/>
      <c r="F39" s="15"/>
      <c r="G39" s="15"/>
      <c r="H39" s="15"/>
      <c r="I39" s="15"/>
      <c r="J39" s="14"/>
      <c r="K39" s="14"/>
      <c r="L39" s="14"/>
      <c r="M39" s="14"/>
      <c r="N39" s="14"/>
      <c r="O39" s="14"/>
      <c r="P39" s="14"/>
      <c r="Q39" s="14"/>
      <c r="T39" s="14"/>
      <c r="U39" s="14"/>
    </row>
    <row r="40" spans="1:23" ht="18" customHeight="1">
      <c r="A40" s="41"/>
      <c r="B40" s="42" t="s">
        <v>6</v>
      </c>
      <c r="C40" s="43"/>
      <c r="D40" s="43"/>
      <c r="E40" s="43"/>
      <c r="F40" s="43"/>
      <c r="G40" s="43"/>
      <c r="H40" s="44">
        <f>P40</f>
        <v>57524</v>
      </c>
      <c r="I40" s="53"/>
      <c r="J40" s="3">
        <v>46997</v>
      </c>
      <c r="M40" s="14">
        <v>46997</v>
      </c>
      <c r="O40" s="9"/>
      <c r="P40" s="14">
        <f>ROUND(55957*1.028,0)</f>
        <v>57524</v>
      </c>
      <c r="U40" s="14">
        <f>ROUND(55957*4.2%,0)</f>
        <v>2350</v>
      </c>
      <c r="V40" s="14">
        <f>U40+55957</f>
        <v>58307</v>
      </c>
      <c r="W40" s="14">
        <f>V40</f>
        <v>58307</v>
      </c>
    </row>
    <row r="41" spans="1:23" ht="18" customHeight="1">
      <c r="A41" s="45"/>
      <c r="B41" s="22"/>
      <c r="C41" s="46" t="s">
        <v>2</v>
      </c>
      <c r="D41" s="38"/>
      <c r="E41" s="38"/>
      <c r="F41" s="38"/>
      <c r="G41" s="38"/>
      <c r="H41" s="47">
        <f>ROUND(H40*H$75,0)</f>
        <v>4401</v>
      </c>
      <c r="I41" s="54"/>
      <c r="J41" s="3">
        <f>H40*H75</f>
        <v>4400.5860000000002</v>
      </c>
      <c r="K41" s="3">
        <f>H41-J41</f>
        <v>0.41399999999975989</v>
      </c>
      <c r="M41" s="8">
        <f>ROUND(M40*$H$75,0)</f>
        <v>3595</v>
      </c>
      <c r="O41" s="9"/>
      <c r="W41" s="14">
        <f>ROUND(58307*0.0765,0)</f>
        <v>4460</v>
      </c>
    </row>
    <row r="42" spans="1:23" ht="15" customHeight="1">
      <c r="A42" s="45"/>
      <c r="B42" s="22"/>
      <c r="C42" s="46" t="s">
        <v>3</v>
      </c>
      <c r="D42" s="38"/>
      <c r="E42" s="38"/>
      <c r="F42" s="38"/>
      <c r="G42" s="38"/>
      <c r="H42" s="47">
        <f>ROUND(H40*H$76,0)</f>
        <v>14093</v>
      </c>
      <c r="I42" s="54"/>
      <c r="J42" s="3">
        <f>H40*H76</f>
        <v>14093.38</v>
      </c>
      <c r="K42" s="3">
        <f>H42-J42</f>
        <v>-0.37999999999919964</v>
      </c>
      <c r="M42" s="8">
        <f>ROUND(M40*$H$76,0)</f>
        <v>11514</v>
      </c>
      <c r="O42" s="9"/>
      <c r="W42" s="14">
        <f>ROUND(W40*24.5%,0)</f>
        <v>14285</v>
      </c>
    </row>
    <row r="43" spans="1:23" ht="14.25" customHeight="1">
      <c r="A43" s="45"/>
      <c r="B43" s="22"/>
      <c r="C43" s="46" t="s">
        <v>4</v>
      </c>
      <c r="D43" s="38"/>
      <c r="E43" s="38"/>
      <c r="F43" s="38"/>
      <c r="G43" s="38"/>
      <c r="H43" s="47">
        <f>H$77</f>
        <v>7397</v>
      </c>
      <c r="I43" s="54"/>
      <c r="J43" s="3">
        <f>H77</f>
        <v>7397</v>
      </c>
      <c r="K43" s="3">
        <f>H43-J43</f>
        <v>0</v>
      </c>
      <c r="M43" s="14">
        <v>5192</v>
      </c>
      <c r="O43" s="9"/>
      <c r="P43" s="13"/>
      <c r="Q43" s="13"/>
      <c r="W43" s="14">
        <v>7397</v>
      </c>
    </row>
    <row r="44" spans="1:23" ht="15.75">
      <c r="A44" s="45"/>
      <c r="B44" s="22"/>
      <c r="C44" s="38"/>
      <c r="D44" s="38"/>
      <c r="E44" s="38"/>
      <c r="F44" s="38"/>
      <c r="G44" s="38"/>
      <c r="H44" s="4">
        <f>SUM(H40:H43)</f>
        <v>83415</v>
      </c>
      <c r="I44" s="54"/>
      <c r="J44" s="3"/>
      <c r="M44" s="14">
        <f>SUM(M40:M43)</f>
        <v>67298</v>
      </c>
      <c r="O44" s="9"/>
      <c r="W44" s="14">
        <f>SUM(W40:W43)</f>
        <v>84449</v>
      </c>
    </row>
    <row r="45" spans="1:23" ht="5.0999999999999996" customHeight="1" thickBot="1">
      <c r="A45" s="48"/>
      <c r="B45" s="49"/>
      <c r="C45" s="50"/>
      <c r="D45" s="50"/>
      <c r="E45" s="50"/>
      <c r="F45" s="50"/>
      <c r="G45" s="50"/>
      <c r="H45" s="51"/>
      <c r="I45" s="52"/>
      <c r="J45" s="3"/>
    </row>
    <row r="46" spans="1:23" ht="8.1" customHeight="1" thickBot="1">
      <c r="A46" s="15"/>
      <c r="B46" s="19"/>
      <c r="C46" s="15"/>
      <c r="D46" s="15"/>
      <c r="E46" s="15"/>
      <c r="F46" s="15"/>
      <c r="G46" s="15"/>
      <c r="H46" s="15"/>
      <c r="I46" s="15"/>
      <c r="J46" s="3"/>
    </row>
    <row r="47" spans="1:23" ht="18" customHeight="1">
      <c r="A47" s="41"/>
      <c r="B47" s="42" t="s">
        <v>22</v>
      </c>
      <c r="C47" s="43"/>
      <c r="D47" s="43"/>
      <c r="E47" s="43"/>
      <c r="F47" s="43"/>
      <c r="G47" s="43"/>
      <c r="H47" s="44">
        <f>P47</f>
        <v>64613</v>
      </c>
      <c r="I47" s="53"/>
      <c r="J47" s="3">
        <v>46997</v>
      </c>
      <c r="M47" s="14">
        <v>46997</v>
      </c>
      <c r="O47" s="9"/>
      <c r="P47" s="14">
        <f>ROUND(62853*1.028,0)</f>
        <v>64613</v>
      </c>
      <c r="U47" s="14">
        <f>ROUND(62853*4.2%,0)</f>
        <v>2640</v>
      </c>
      <c r="V47" s="14">
        <f>ROUND(U47+62853,0)</f>
        <v>65493</v>
      </c>
      <c r="W47" s="14">
        <f>V47</f>
        <v>65493</v>
      </c>
    </row>
    <row r="48" spans="1:23" ht="15.75" customHeight="1">
      <c r="A48" s="45"/>
      <c r="B48" s="22"/>
      <c r="C48" s="46" t="s">
        <v>2</v>
      </c>
      <c r="D48" s="38"/>
      <c r="E48" s="38"/>
      <c r="F48" s="38"/>
      <c r="G48" s="38"/>
      <c r="H48" s="47">
        <f>ROUND(H47*H$75,0)</f>
        <v>4943</v>
      </c>
      <c r="I48" s="54"/>
      <c r="J48" s="3">
        <f>H47*H82</f>
        <v>0</v>
      </c>
      <c r="K48" s="3">
        <f>H48-J48</f>
        <v>4943</v>
      </c>
      <c r="M48" s="8">
        <f>ROUND(M47*$H$75,0)</f>
        <v>3595</v>
      </c>
      <c r="O48" s="9"/>
      <c r="W48" s="14">
        <f>ROUND(V47*0.0765,0)</f>
        <v>5010</v>
      </c>
    </row>
    <row r="49" spans="1:23" ht="15.75" customHeight="1">
      <c r="A49" s="45"/>
      <c r="B49" s="22"/>
      <c r="C49" s="46" t="s">
        <v>3</v>
      </c>
      <c r="D49" s="38"/>
      <c r="E49" s="38"/>
      <c r="F49" s="38"/>
      <c r="G49" s="38"/>
      <c r="H49" s="47">
        <f>ROUND(H47*H$76,0)</f>
        <v>15830</v>
      </c>
      <c r="I49" s="54"/>
      <c r="J49" s="3">
        <f>H47*H83</f>
        <v>0</v>
      </c>
      <c r="K49" s="3">
        <f>H49-J49</f>
        <v>15830</v>
      </c>
      <c r="M49" s="8">
        <f>ROUND(M47*$H$76,0)</f>
        <v>11514</v>
      </c>
      <c r="O49" s="9"/>
      <c r="W49" s="14">
        <f>ROUND(W47*24.5%,0)</f>
        <v>16046</v>
      </c>
    </row>
    <row r="50" spans="1:23" ht="15.75" customHeight="1">
      <c r="A50" s="45"/>
      <c r="B50" s="22"/>
      <c r="C50" s="46" t="s">
        <v>4</v>
      </c>
      <c r="D50" s="38"/>
      <c r="E50" s="38"/>
      <c r="F50" s="38"/>
      <c r="G50" s="38"/>
      <c r="H50" s="47">
        <f>H$77</f>
        <v>7397</v>
      </c>
      <c r="I50" s="54"/>
      <c r="J50" s="3">
        <f>H84</f>
        <v>0</v>
      </c>
      <c r="K50" s="3">
        <f>H50-J50</f>
        <v>7397</v>
      </c>
      <c r="M50" s="14">
        <v>5192</v>
      </c>
      <c r="O50" s="9"/>
      <c r="P50" s="13"/>
      <c r="Q50" s="13"/>
      <c r="W50" s="14">
        <v>7397</v>
      </c>
    </row>
    <row r="51" spans="1:23" ht="15.75">
      <c r="A51" s="45"/>
      <c r="B51" s="22"/>
      <c r="C51" s="38"/>
      <c r="D51" s="38"/>
      <c r="E51" s="38"/>
      <c r="F51" s="38"/>
      <c r="G51" s="38"/>
      <c r="H51" s="4">
        <f>SUM(H47:H50)</f>
        <v>92783</v>
      </c>
      <c r="I51" s="54"/>
      <c r="J51" s="3"/>
      <c r="M51" s="14">
        <f>SUM(M47:M50)</f>
        <v>67298</v>
      </c>
      <c r="O51" s="9"/>
      <c r="W51" s="14">
        <f>SUM(W47:W50)</f>
        <v>93946</v>
      </c>
    </row>
    <row r="52" spans="1:23" ht="5.0999999999999996" customHeight="1" thickBot="1">
      <c r="A52" s="48"/>
      <c r="B52" s="49"/>
      <c r="C52" s="50"/>
      <c r="D52" s="50"/>
      <c r="E52" s="50"/>
      <c r="F52" s="50"/>
      <c r="G52" s="50"/>
      <c r="H52" s="51"/>
      <c r="I52" s="52"/>
      <c r="J52" s="3"/>
    </row>
    <row r="53" spans="1:23" ht="8.1" customHeight="1" thickBot="1">
      <c r="A53" s="15"/>
      <c r="B53" s="19"/>
      <c r="C53" s="15"/>
      <c r="D53" s="15"/>
      <c r="E53" s="15"/>
      <c r="F53" s="15"/>
      <c r="G53" s="15"/>
      <c r="H53" s="15"/>
      <c r="I53" s="15"/>
      <c r="J53" s="3"/>
    </row>
    <row r="54" spans="1:23" ht="17.25" customHeight="1">
      <c r="A54" s="41"/>
      <c r="B54" s="42" t="s">
        <v>7</v>
      </c>
      <c r="C54" s="43"/>
      <c r="D54" s="43"/>
      <c r="E54" s="43"/>
      <c r="F54" s="43"/>
      <c r="G54" s="43"/>
      <c r="H54" s="44">
        <f>P54</f>
        <v>36724</v>
      </c>
      <c r="I54" s="53"/>
      <c r="O54" s="9"/>
      <c r="P54" s="14">
        <f>ROUND(35312*1.04,0)</f>
        <v>36724</v>
      </c>
      <c r="U54" s="14">
        <f>ROUND(35312*4%,0)</f>
        <v>1412</v>
      </c>
      <c r="V54" s="14">
        <f>U54+35312</f>
        <v>36724</v>
      </c>
      <c r="W54" s="14">
        <f>V54</f>
        <v>36724</v>
      </c>
    </row>
    <row r="55" spans="1:23" ht="15" customHeight="1">
      <c r="A55" s="45"/>
      <c r="B55" s="22"/>
      <c r="C55" s="46" t="s">
        <v>2</v>
      </c>
      <c r="D55" s="38"/>
      <c r="E55" s="38"/>
      <c r="F55" s="38"/>
      <c r="G55" s="38"/>
      <c r="H55" s="47">
        <f>ROUND(H54*H$75,0)</f>
        <v>2809</v>
      </c>
      <c r="I55" s="54"/>
      <c r="J55" s="3">
        <f>H54*H75</f>
        <v>2809.386</v>
      </c>
      <c r="K55" s="3">
        <f>H55-J55</f>
        <v>-0.38599999999996726</v>
      </c>
      <c r="O55" s="9"/>
      <c r="W55" s="14">
        <f>ROUND(36724*0.0765,0)</f>
        <v>2809</v>
      </c>
    </row>
    <row r="56" spans="1:23" ht="16.5" customHeight="1">
      <c r="A56" s="45"/>
      <c r="B56" s="22"/>
      <c r="C56" s="46" t="s">
        <v>3</v>
      </c>
      <c r="D56" s="38"/>
      <c r="E56" s="38"/>
      <c r="F56" s="38"/>
      <c r="G56" s="38"/>
      <c r="H56" s="47">
        <f>ROUND(H54*H$76,0)</f>
        <v>8997</v>
      </c>
      <c r="I56" s="54"/>
      <c r="J56" s="6">
        <f>H54*H76</f>
        <v>8997.3799999999992</v>
      </c>
      <c r="K56" s="3">
        <f>H56-J56</f>
        <v>-0.37999999999919964</v>
      </c>
      <c r="O56" s="9"/>
      <c r="W56" s="14">
        <f>ROUND(36724*24.5%,0)</f>
        <v>8997</v>
      </c>
    </row>
    <row r="57" spans="1:23" ht="15.75" customHeight="1">
      <c r="A57" s="45"/>
      <c r="B57" s="22"/>
      <c r="C57" s="46" t="s">
        <v>4</v>
      </c>
      <c r="D57" s="38"/>
      <c r="E57" s="38"/>
      <c r="F57" s="38"/>
      <c r="G57" s="38"/>
      <c r="H57" s="47">
        <f>H$77</f>
        <v>7397</v>
      </c>
      <c r="I57" s="54"/>
      <c r="J57" s="3">
        <f>H77</f>
        <v>7397</v>
      </c>
      <c r="K57" s="3">
        <f>H57-J57</f>
        <v>0</v>
      </c>
      <c r="O57" s="9"/>
      <c r="W57" s="14">
        <v>7397</v>
      </c>
    </row>
    <row r="58" spans="1:23" ht="15.75">
      <c r="A58" s="45"/>
      <c r="B58" s="22"/>
      <c r="C58" s="38"/>
      <c r="D58" s="38"/>
      <c r="E58" s="38"/>
      <c r="F58" s="38"/>
      <c r="G58" s="38"/>
      <c r="H58" s="4">
        <f>SUM(H54:H57)</f>
        <v>55927</v>
      </c>
      <c r="I58" s="54"/>
      <c r="J58" s="3"/>
      <c r="O58" s="9"/>
      <c r="W58" s="14">
        <f>SUM(W54:W57)</f>
        <v>55927</v>
      </c>
    </row>
    <row r="59" spans="1:23" ht="5.0999999999999996" customHeight="1" thickBot="1">
      <c r="A59" s="48"/>
      <c r="B59" s="49"/>
      <c r="C59" s="50"/>
      <c r="D59" s="50"/>
      <c r="E59" s="50"/>
      <c r="F59" s="50"/>
      <c r="G59" s="50"/>
      <c r="H59" s="51"/>
      <c r="I59" s="59"/>
      <c r="J59" s="3"/>
    </row>
    <row r="60" spans="1:23" ht="8.1" customHeight="1" thickBot="1">
      <c r="A60" s="15"/>
      <c r="B60" s="19"/>
      <c r="C60" s="15"/>
      <c r="D60" s="15"/>
      <c r="E60" s="15"/>
      <c r="F60" s="15"/>
      <c r="G60" s="15"/>
      <c r="H60" s="15"/>
      <c r="I60" s="15"/>
      <c r="J60" s="3"/>
    </row>
    <row r="61" spans="1:23" ht="18" customHeight="1">
      <c r="A61" s="41"/>
      <c r="B61" s="42" t="s">
        <v>8</v>
      </c>
      <c r="C61" s="43"/>
      <c r="D61" s="43"/>
      <c r="E61" s="43"/>
      <c r="F61" s="43"/>
      <c r="G61" s="43"/>
      <c r="H61" s="44">
        <f>P61</f>
        <v>25100</v>
      </c>
      <c r="I61" s="53"/>
      <c r="J61" s="3"/>
      <c r="O61" s="9"/>
      <c r="P61" s="14">
        <f>ROUND(24135*1.04,0)</f>
        <v>25100</v>
      </c>
      <c r="U61" s="14">
        <f>24135*4%</f>
        <v>965.4</v>
      </c>
      <c r="V61" s="14">
        <f>ROUND(U61+24135,0)</f>
        <v>25100</v>
      </c>
      <c r="W61" s="14">
        <f>V61</f>
        <v>25100</v>
      </c>
    </row>
    <row r="62" spans="1:23" ht="12.2" customHeight="1">
      <c r="A62" s="45"/>
      <c r="B62" s="22"/>
      <c r="C62" s="46" t="s">
        <v>2</v>
      </c>
      <c r="D62" s="38"/>
      <c r="E62" s="38"/>
      <c r="F62" s="38"/>
      <c r="G62" s="38"/>
      <c r="H62" s="47">
        <f>ROUND(H61*H$75,0)</f>
        <v>1920</v>
      </c>
      <c r="I62" s="54"/>
      <c r="J62" s="3">
        <f>H61*H75</f>
        <v>1920.1499999999999</v>
      </c>
      <c r="K62" s="3">
        <f>H62-J62</f>
        <v>-0.14999999999986358</v>
      </c>
      <c r="O62" s="9"/>
      <c r="W62" s="14">
        <f>ROUND(25100*0.0765,0)</f>
        <v>1920</v>
      </c>
    </row>
    <row r="63" spans="1:23" ht="12.2" customHeight="1">
      <c r="A63" s="45"/>
      <c r="B63" s="22"/>
      <c r="C63" s="46" t="s">
        <v>3</v>
      </c>
      <c r="D63" s="38"/>
      <c r="E63" s="38"/>
      <c r="F63" s="38"/>
      <c r="G63" s="38"/>
      <c r="H63" s="47">
        <f>ROUND(H61*H$76,0)</f>
        <v>6150</v>
      </c>
      <c r="I63" s="54"/>
      <c r="J63" s="6">
        <f>H61*H76</f>
        <v>6149.5</v>
      </c>
      <c r="K63" s="3">
        <f>H63-J63</f>
        <v>0.5</v>
      </c>
      <c r="O63" s="9"/>
      <c r="W63" s="14">
        <f>ROUND(W61*24.5%,0)</f>
        <v>6150</v>
      </c>
    </row>
    <row r="64" spans="1:23" ht="12.6" customHeight="1">
      <c r="A64" s="45"/>
      <c r="B64" s="22"/>
      <c r="C64" s="46" t="s">
        <v>4</v>
      </c>
      <c r="D64" s="38"/>
      <c r="E64" s="38"/>
      <c r="F64" s="38"/>
      <c r="G64" s="38"/>
      <c r="H64" s="47">
        <f>H$77</f>
        <v>7397</v>
      </c>
      <c r="I64" s="54"/>
      <c r="J64" s="3">
        <f>H77</f>
        <v>7397</v>
      </c>
      <c r="K64" s="3">
        <f>H64-J64</f>
        <v>0</v>
      </c>
      <c r="O64" s="9"/>
      <c r="W64" s="14">
        <v>7397</v>
      </c>
    </row>
    <row r="65" spans="1:23" ht="15.75">
      <c r="A65" s="45"/>
      <c r="B65" s="22"/>
      <c r="C65" s="38"/>
      <c r="D65" s="38"/>
      <c r="E65" s="38"/>
      <c r="F65" s="38"/>
      <c r="G65" s="38"/>
      <c r="H65" s="4">
        <f>SUM(H61:H64)</f>
        <v>40567</v>
      </c>
      <c r="I65" s="54"/>
      <c r="J65" s="3"/>
      <c r="O65" s="9"/>
      <c r="W65" s="14">
        <f>SUM(W61:W64)</f>
        <v>40567</v>
      </c>
    </row>
    <row r="66" spans="1:23" ht="5.0999999999999996" customHeight="1" thickBot="1">
      <c r="A66" s="48"/>
      <c r="B66" s="49"/>
      <c r="C66" s="50"/>
      <c r="D66" s="50"/>
      <c r="E66" s="50"/>
      <c r="F66" s="50"/>
      <c r="G66" s="50"/>
      <c r="H66" s="51"/>
      <c r="I66" s="52"/>
      <c r="J66" s="3"/>
    </row>
    <row r="67" spans="1:23" ht="8.1" customHeight="1" thickBot="1">
      <c r="A67" s="15"/>
      <c r="B67" s="19"/>
      <c r="C67" s="15"/>
      <c r="D67" s="15"/>
      <c r="E67" s="15"/>
      <c r="F67" s="15"/>
      <c r="G67" s="15"/>
      <c r="H67" s="15"/>
      <c r="I67" s="15"/>
      <c r="J67" s="3"/>
    </row>
    <row r="68" spans="1:23" ht="18" customHeight="1">
      <c r="A68" s="41"/>
      <c r="B68" s="42" t="s">
        <v>9</v>
      </c>
      <c r="C68" s="43"/>
      <c r="D68" s="43"/>
      <c r="E68" s="43"/>
      <c r="F68" s="43"/>
      <c r="G68" s="43"/>
      <c r="H68" s="44">
        <f>P68</f>
        <v>24798</v>
      </c>
      <c r="I68" s="53"/>
      <c r="J68" s="3"/>
      <c r="O68" s="9"/>
      <c r="P68" s="14">
        <f>ROUND(23844*1.04,0)</f>
        <v>24798</v>
      </c>
      <c r="U68" s="14">
        <f>ROUND(23844*4%,0)</f>
        <v>954</v>
      </c>
      <c r="V68" s="14">
        <f>23844+U68</f>
        <v>24798</v>
      </c>
      <c r="W68" s="14">
        <f>V68</f>
        <v>24798</v>
      </c>
    </row>
    <row r="69" spans="1:23" ht="12.2" customHeight="1">
      <c r="A69" s="45"/>
      <c r="B69" s="22"/>
      <c r="C69" s="46" t="s">
        <v>2</v>
      </c>
      <c r="D69" s="38"/>
      <c r="E69" s="38"/>
      <c r="F69" s="38"/>
      <c r="G69" s="38"/>
      <c r="H69" s="47">
        <f>ROUND(H68*H$75,0)</f>
        <v>1897</v>
      </c>
      <c r="I69" s="54"/>
      <c r="J69" s="3">
        <f>H68*H75</f>
        <v>1897.047</v>
      </c>
      <c r="K69" s="3">
        <f>H69-J69</f>
        <v>-4.7000000000025466E-2</v>
      </c>
      <c r="O69" s="9"/>
      <c r="W69" s="14">
        <f>ROUND(V68*0.0765,0)</f>
        <v>1897</v>
      </c>
    </row>
    <row r="70" spans="1:23" ht="12.2" customHeight="1">
      <c r="A70" s="45"/>
      <c r="B70" s="22"/>
      <c r="C70" s="46" t="s">
        <v>3</v>
      </c>
      <c r="D70" s="38"/>
      <c r="E70" s="38"/>
      <c r="F70" s="38"/>
      <c r="G70" s="38"/>
      <c r="H70" s="47">
        <f>ROUND(H68*H$76,0)</f>
        <v>6076</v>
      </c>
      <c r="I70" s="54"/>
      <c r="J70" s="3">
        <f>H68*H76</f>
        <v>6075.51</v>
      </c>
      <c r="K70" s="3">
        <f>H70-J70</f>
        <v>0.48999999999978172</v>
      </c>
      <c r="O70" s="9"/>
      <c r="W70" s="14">
        <f>ROUND(W68*24.5%,0)</f>
        <v>6076</v>
      </c>
    </row>
    <row r="71" spans="1:23" ht="12.6" customHeight="1">
      <c r="A71" s="45"/>
      <c r="B71" s="22"/>
      <c r="C71" s="46" t="s">
        <v>4</v>
      </c>
      <c r="D71" s="38"/>
      <c r="E71" s="38"/>
      <c r="F71" s="38"/>
      <c r="G71" s="38"/>
      <c r="H71" s="47">
        <f>H$77</f>
        <v>7397</v>
      </c>
      <c r="I71" s="54"/>
      <c r="J71" s="3">
        <f>H77</f>
        <v>7397</v>
      </c>
      <c r="K71" s="3">
        <f>H71-J71</f>
        <v>0</v>
      </c>
      <c r="O71" s="9"/>
      <c r="W71" s="14">
        <v>7397</v>
      </c>
    </row>
    <row r="72" spans="1:23" ht="15.75">
      <c r="A72" s="45"/>
      <c r="B72" s="22"/>
      <c r="C72" s="38"/>
      <c r="D72" s="38"/>
      <c r="E72" s="38"/>
      <c r="F72" s="38"/>
      <c r="G72" s="38"/>
      <c r="H72" s="4">
        <f>SUM(H68:H71)</f>
        <v>40168</v>
      </c>
      <c r="I72" s="54"/>
      <c r="O72" s="9"/>
      <c r="P72" s="30"/>
      <c r="Q72" s="30"/>
      <c r="R72" s="36"/>
      <c r="S72" s="36"/>
      <c r="T72" s="30"/>
      <c r="U72" s="30"/>
      <c r="W72" s="14">
        <f>SUM(W68:W71)</f>
        <v>40168</v>
      </c>
    </row>
    <row r="73" spans="1:23" ht="5.0999999999999996" customHeight="1" thickBot="1">
      <c r="A73" s="48"/>
      <c r="B73" s="49"/>
      <c r="C73" s="50"/>
      <c r="D73" s="50"/>
      <c r="E73" s="50"/>
      <c r="F73" s="50"/>
      <c r="G73" s="50"/>
      <c r="H73" s="51"/>
      <c r="I73" s="52"/>
      <c r="P73" s="30"/>
      <c r="Q73" s="30"/>
      <c r="R73" s="36"/>
      <c r="S73" s="36"/>
      <c r="T73" s="30"/>
      <c r="U73" s="30"/>
    </row>
    <row r="74" spans="1:23" ht="7.5" customHeight="1" thickBot="1">
      <c r="A74" s="15"/>
      <c r="B74" s="19"/>
      <c r="C74" s="15"/>
      <c r="D74" s="15"/>
      <c r="E74" s="15"/>
      <c r="F74" s="15"/>
      <c r="G74" s="15"/>
      <c r="H74" s="15"/>
      <c r="I74" s="15"/>
      <c r="P74" s="30"/>
      <c r="Q74" s="30"/>
      <c r="R74" s="36"/>
      <c r="S74" s="36"/>
      <c r="T74" s="30"/>
      <c r="U74" s="30"/>
    </row>
    <row r="75" spans="1:23" ht="16.149999999999999" customHeight="1">
      <c r="A75" s="41"/>
      <c r="B75" s="60"/>
      <c r="C75" s="43" t="s">
        <v>10</v>
      </c>
      <c r="D75" s="43"/>
      <c r="E75" s="43"/>
      <c r="F75" s="43"/>
      <c r="G75" s="43"/>
      <c r="H75" s="61">
        <v>7.6499999999999999E-2</v>
      </c>
      <c r="I75" s="53"/>
      <c r="O75" s="31"/>
      <c r="P75" s="30"/>
      <c r="Q75" s="30"/>
      <c r="R75" s="36"/>
      <c r="S75" s="36"/>
      <c r="T75" s="30"/>
      <c r="U75" s="30"/>
    </row>
    <row r="76" spans="1:23" ht="16.149999999999999" customHeight="1">
      <c r="A76" s="45"/>
      <c r="B76" s="22"/>
      <c r="C76" s="38" t="s">
        <v>11</v>
      </c>
      <c r="D76" s="38"/>
      <c r="E76" s="38"/>
      <c r="F76" s="38"/>
      <c r="G76" s="38"/>
      <c r="H76" s="62">
        <v>0.245</v>
      </c>
      <c r="I76" s="54"/>
      <c r="O76" s="31"/>
      <c r="P76" s="31"/>
      <c r="Q76" s="30"/>
      <c r="R76" s="36"/>
      <c r="S76" s="36"/>
      <c r="T76" s="30"/>
      <c r="U76" s="30"/>
    </row>
    <row r="77" spans="1:23" ht="16.149999999999999" customHeight="1" thickBot="1">
      <c r="A77" s="48"/>
      <c r="B77" s="49"/>
      <c r="C77" s="50" t="s">
        <v>12</v>
      </c>
      <c r="D77" s="50"/>
      <c r="E77" s="50"/>
      <c r="F77" s="50"/>
      <c r="G77" s="50"/>
      <c r="H77" s="63">
        <v>7397</v>
      </c>
      <c r="I77" s="59"/>
      <c r="O77" s="31"/>
      <c r="P77" s="30"/>
      <c r="Q77" s="30"/>
      <c r="R77" s="36"/>
      <c r="S77" s="36"/>
      <c r="T77" s="30"/>
      <c r="U77" s="30"/>
    </row>
    <row r="78" spans="1:23" ht="8.4499999999999993" customHeight="1" thickBot="1">
      <c r="A78" s="16"/>
      <c r="B78" s="20"/>
      <c r="C78" s="17"/>
      <c r="D78" s="17"/>
      <c r="E78" s="17"/>
      <c r="F78" s="17"/>
      <c r="G78" s="17"/>
      <c r="H78" s="17"/>
      <c r="I78" s="18"/>
      <c r="O78" s="31"/>
      <c r="P78" s="30"/>
      <c r="Q78" s="30"/>
      <c r="R78" s="36"/>
      <c r="S78" s="36"/>
      <c r="T78" s="30"/>
      <c r="U78" s="30"/>
    </row>
    <row r="79" spans="1:23" ht="11.45" customHeight="1" thickTop="1">
      <c r="A79" s="25"/>
      <c r="P79" s="30"/>
      <c r="Q79" s="30"/>
      <c r="R79" s="36"/>
      <c r="S79" s="36"/>
      <c r="T79" s="30"/>
      <c r="U79" s="30"/>
    </row>
    <row r="80" spans="1:23" ht="13.5" customHeight="1">
      <c r="A80" s="14" t="s">
        <v>16</v>
      </c>
      <c r="P80" s="32"/>
      <c r="Q80" s="23"/>
      <c r="R80" s="33"/>
      <c r="S80" s="32"/>
      <c r="T80" s="30"/>
      <c r="U80" s="30"/>
    </row>
    <row r="81" spans="1:21" s="24" customFormat="1" ht="12.2" customHeight="1">
      <c r="A81" s="27">
        <v>1</v>
      </c>
      <c r="B81" s="75" t="s">
        <v>13</v>
      </c>
      <c r="C81" s="69"/>
      <c r="D81" s="68"/>
      <c r="E81" s="68"/>
      <c r="F81" s="67"/>
      <c r="G81" s="67"/>
      <c r="H81" s="67"/>
      <c r="I81" s="66"/>
      <c r="J81" s="66"/>
      <c r="K81" s="66"/>
      <c r="L81" s="66"/>
      <c r="M81" s="66"/>
      <c r="N81" s="66"/>
      <c r="O81" s="66"/>
      <c r="P81" s="32"/>
      <c r="Q81" s="23"/>
      <c r="R81" s="33"/>
      <c r="S81" s="32"/>
    </row>
    <row r="82" spans="1:21" s="24" customFormat="1" ht="12.2" customHeight="1">
      <c r="A82" s="28"/>
      <c r="B82" s="76" t="s">
        <v>15</v>
      </c>
      <c r="C82" s="68"/>
      <c r="D82" s="68"/>
      <c r="E82" s="68"/>
      <c r="F82" s="67"/>
      <c r="G82" s="67"/>
      <c r="H82" s="67"/>
      <c r="I82" s="66"/>
      <c r="J82" s="66"/>
      <c r="K82" s="66"/>
      <c r="L82" s="66"/>
      <c r="M82" s="66"/>
      <c r="N82" s="66"/>
      <c r="O82" s="66"/>
      <c r="P82" s="34"/>
      <c r="Q82" s="23"/>
      <c r="R82" s="33"/>
      <c r="S82" s="10"/>
    </row>
    <row r="83" spans="1:21" ht="12.75" customHeight="1">
      <c r="A83" s="26"/>
      <c r="B83" s="75" t="s">
        <v>17</v>
      </c>
      <c r="C83" s="69"/>
      <c r="D83" s="68"/>
      <c r="E83" s="68"/>
      <c r="F83" s="67"/>
      <c r="G83" s="67"/>
      <c r="H83" s="67"/>
      <c r="I83" s="64"/>
      <c r="J83" s="64"/>
      <c r="K83" s="64"/>
      <c r="L83" s="64"/>
      <c r="M83" s="64"/>
      <c r="N83" s="64"/>
      <c r="O83" s="64"/>
      <c r="P83" s="23"/>
      <c r="Q83" s="23"/>
      <c r="R83" s="33"/>
      <c r="S83" s="11"/>
    </row>
    <row r="84" spans="1:21">
      <c r="A84" s="28"/>
      <c r="B84" s="77" t="s">
        <v>18</v>
      </c>
      <c r="C84" s="65"/>
      <c r="D84" s="65"/>
      <c r="E84" s="65"/>
      <c r="F84" s="72"/>
      <c r="G84" s="72"/>
      <c r="H84" s="72"/>
      <c r="I84" s="72"/>
      <c r="J84" s="64"/>
      <c r="K84" s="64"/>
      <c r="L84" s="64"/>
      <c r="M84" s="64"/>
      <c r="N84" s="64"/>
      <c r="O84" s="64"/>
      <c r="Q84" s="35"/>
      <c r="S84" s="12"/>
    </row>
    <row r="85" spans="1:21" s="64" customFormat="1">
      <c r="A85" s="70"/>
      <c r="B85" s="77" t="s">
        <v>27</v>
      </c>
      <c r="C85" s="65"/>
      <c r="D85" s="65"/>
      <c r="E85" s="65"/>
      <c r="F85" s="72"/>
      <c r="G85" s="72"/>
      <c r="H85" s="72"/>
      <c r="I85" s="72"/>
      <c r="Q85" s="73"/>
      <c r="R85" s="71"/>
      <c r="S85" s="74"/>
    </row>
    <row r="86" spans="1:21" s="64" customFormat="1">
      <c r="A86" s="70"/>
      <c r="B86" s="77" t="s">
        <v>28</v>
      </c>
      <c r="C86" s="65"/>
      <c r="D86" s="65"/>
      <c r="E86" s="65"/>
      <c r="F86" s="72"/>
      <c r="G86" s="72"/>
      <c r="H86" s="72"/>
      <c r="I86" s="72"/>
      <c r="Q86" s="73"/>
      <c r="R86" s="71"/>
      <c r="S86" s="74"/>
    </row>
    <row r="87" spans="1:21">
      <c r="A87" s="27"/>
      <c r="B87" s="33" t="s">
        <v>19</v>
      </c>
    </row>
    <row r="88" spans="1:21">
      <c r="B88" s="33" t="s">
        <v>21</v>
      </c>
    </row>
    <row r="89" spans="1:21">
      <c r="B89" s="37" t="s">
        <v>26</v>
      </c>
    </row>
    <row r="90" spans="1:21" s="29" customFormat="1">
      <c r="A90" s="14"/>
      <c r="B90" s="21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T90" s="14"/>
      <c r="U90" s="14"/>
    </row>
    <row r="91" spans="1:21" s="29" customFormat="1">
      <c r="A91" s="14"/>
      <c r="B91" s="21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T91" s="14"/>
      <c r="U91" s="14"/>
    </row>
    <row r="92" spans="1:21" s="29" customFormat="1">
      <c r="A92" s="14"/>
      <c r="B92" s="55"/>
      <c r="C92" s="56"/>
      <c r="D92" s="56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T92" s="14"/>
      <c r="U92" s="14"/>
    </row>
    <row r="93" spans="1:21">
      <c r="B93" s="55"/>
      <c r="C93" s="56"/>
      <c r="D93" s="56"/>
    </row>
    <row r="94" spans="1:21">
      <c r="B94" s="57"/>
      <c r="C94" s="56"/>
      <c r="D94" s="56"/>
    </row>
    <row r="95" spans="1:21" ht="15.75">
      <c r="B95" s="58"/>
    </row>
    <row r="96" spans="1:21">
      <c r="B96" s="55"/>
    </row>
    <row r="97" spans="2:3">
      <c r="B97" s="55"/>
      <c r="C97" s="56"/>
    </row>
    <row r="98" spans="2:3">
      <c r="C98" s="56"/>
    </row>
  </sheetData>
  <mergeCells count="3">
    <mergeCell ref="A1:I1"/>
    <mergeCell ref="A2:I2"/>
    <mergeCell ref="A3:I3"/>
  </mergeCells>
  <printOptions horizontalCentered="1"/>
  <pageMargins left="0.75" right="0.75" top="0.5" bottom="0.4" header="0.5" footer="0.2"/>
  <pageSetup scale="74" orientation="portrait" r:id="rId1"/>
  <headerFooter alignWithMargins="0">
    <oddFooter xml:space="preserve">&amp;L&amp;"Arial MT,Italic"&amp;8Division of School Business Services
School Allotments Section
&amp;C &amp;R&amp;"Arial MT,Italic"&amp;8 07/20/2022
Page &amp;P of &amp;N
</oddFooter>
  </headerFooter>
  <rowBreaks count="1" manualBreakCount="1">
    <brk id="67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SwavgInitial23</vt:lpstr>
      <vt:lpstr>SwavgInitial23!Print_Area</vt:lpstr>
    </vt:vector>
  </TitlesOfParts>
  <Company>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Prude</dc:creator>
  <cp:lastModifiedBy>Nicola Lefler</cp:lastModifiedBy>
  <cp:lastPrinted>2023-01-04T15:23:29Z</cp:lastPrinted>
  <dcterms:created xsi:type="dcterms:W3CDTF">2002-10-01T14:01:33Z</dcterms:created>
  <dcterms:modified xsi:type="dcterms:W3CDTF">2023-01-04T15:23:51Z</dcterms:modified>
</cp:coreProperties>
</file>